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am\Documents\Calculators\"/>
    </mc:Choice>
  </mc:AlternateContent>
  <xr:revisionPtr revIDLastSave="0" documentId="13_ncr:1_{B7A5205E-AD35-4E30-82A4-D32F27F3AB54}" xr6:coauthVersionLast="44" xr6:coauthVersionMax="44" xr10:uidLastSave="{00000000-0000-0000-0000-000000000000}"/>
  <bookViews>
    <workbookView xWindow="660" yWindow="330" windowWidth="13960" windowHeight="13470" xr2:uid="{00000000-000D-0000-FFFF-FFFF00000000}"/>
  </bookViews>
  <sheets>
    <sheet name="Inputs + Results" sheetId="10" r:id="rId1"/>
    <sheet name="2020" sheetId="7" r:id="rId2"/>
    <sheet name="EMC" sheetId="4" r:id="rId3"/>
  </sheets>
  <definedNames>
    <definedName name="b">#REF!</definedName>
    <definedName name="CO">#REF!</definedName>
    <definedName name="ERHa">#REF!</definedName>
    <definedName name="ERHb">#REF!</definedName>
    <definedName name="ERHc">#REF!</definedName>
    <definedName name="_xlnm.Print_Area" localSheetId="1">'2020'!$AD$1:$AM$58</definedName>
    <definedName name="rO">#REF!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0" l="1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B37" i="10" l="1"/>
  <c r="B36" i="10"/>
  <c r="B35" i="10"/>
  <c r="B34" i="10"/>
  <c r="R10" i="7"/>
  <c r="P10" i="7"/>
  <c r="L10" i="7"/>
  <c r="R11" i="7"/>
  <c r="L11" i="7"/>
  <c r="G6" i="7"/>
  <c r="G4" i="7"/>
  <c r="J17" i="7" l="1"/>
  <c r="R12" i="7"/>
  <c r="T12" i="7" s="1"/>
  <c r="V11" i="7"/>
  <c r="T11" i="7"/>
  <c r="L12" i="7"/>
  <c r="M12" i="7" s="1"/>
  <c r="O12" i="7" s="1"/>
  <c r="P12" i="7"/>
  <c r="P13" i="7" s="1"/>
  <c r="Q13" i="7" s="1"/>
  <c r="N11" i="7"/>
  <c r="Q11" i="7"/>
  <c r="S11" i="7" s="1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J12" i="7"/>
  <c r="J13" i="7"/>
  <c r="J14" i="7"/>
  <c r="J15" i="7"/>
  <c r="J16" i="7"/>
  <c r="J18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B27" i="7"/>
  <c r="C6" i="7"/>
  <c r="F26" i="7"/>
  <c r="C25" i="7"/>
  <c r="F25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F24" i="7"/>
  <c r="F23" i="7"/>
  <c r="F22" i="7"/>
  <c r="F21" i="7"/>
  <c r="F20" i="7"/>
  <c r="F19" i="7"/>
  <c r="C18" i="7"/>
  <c r="F18" i="7"/>
  <c r="F17" i="7"/>
  <c r="C16" i="7"/>
  <c r="F16" i="7"/>
  <c r="F15" i="7"/>
  <c r="F14" i="7"/>
  <c r="F13" i="7"/>
  <c r="O11" i="7"/>
  <c r="F12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C24" i="7"/>
  <c r="C26" i="7"/>
  <c r="C7" i="7"/>
  <c r="C23" i="7"/>
  <c r="C22" i="7"/>
  <c r="C21" i="7"/>
  <c r="D21" i="7"/>
  <c r="E21" i="7"/>
  <c r="C19" i="7"/>
  <c r="C17" i="7"/>
  <c r="C15" i="7"/>
  <c r="C13" i="7"/>
  <c r="C27" i="7"/>
  <c r="D18" i="7"/>
  <c r="E18" i="7"/>
  <c r="D19" i="7"/>
  <c r="E19" i="7"/>
  <c r="D24" i="7"/>
  <c r="E24" i="7"/>
  <c r="B28" i="7"/>
  <c r="F27" i="7"/>
  <c r="D12" i="7"/>
  <c r="E12" i="7"/>
  <c r="D13" i="7"/>
  <c r="E13" i="7"/>
  <c r="D17" i="7"/>
  <c r="E17" i="7"/>
  <c r="D15" i="7"/>
  <c r="E15" i="7"/>
  <c r="D22" i="7"/>
  <c r="E22" i="7"/>
  <c r="D27" i="7"/>
  <c r="E27" i="7"/>
  <c r="G27" i="7" s="1"/>
  <c r="D26" i="7"/>
  <c r="E26" i="7"/>
  <c r="D16" i="7"/>
  <c r="E16" i="7"/>
  <c r="G16" i="7" s="1"/>
  <c r="B29" i="7"/>
  <c r="F28" i="7"/>
  <c r="C28" i="7"/>
  <c r="D28" i="7"/>
  <c r="E28" i="7"/>
  <c r="D23" i="7"/>
  <c r="E23" i="7"/>
  <c r="D25" i="7"/>
  <c r="E25" i="7"/>
  <c r="C14" i="7"/>
  <c r="D14" i="7"/>
  <c r="E14" i="7"/>
  <c r="C12" i="7"/>
  <c r="C20" i="7"/>
  <c r="D20" i="7"/>
  <c r="E20" i="7"/>
  <c r="B30" i="7"/>
  <c r="F29" i="7"/>
  <c r="C29" i="7"/>
  <c r="D29" i="7"/>
  <c r="E29" i="7"/>
  <c r="C30" i="7"/>
  <c r="D30" i="7"/>
  <c r="E30" i="7"/>
  <c r="F30" i="7"/>
  <c r="B31" i="7"/>
  <c r="F31" i="7"/>
  <c r="B32" i="7"/>
  <c r="C31" i="7"/>
  <c r="D31" i="7"/>
  <c r="E31" i="7"/>
  <c r="C32" i="7"/>
  <c r="D32" i="7"/>
  <c r="E32" i="7"/>
  <c r="B33" i="7"/>
  <c r="F32" i="7"/>
  <c r="C33" i="7"/>
  <c r="D33" i="7"/>
  <c r="E33" i="7"/>
  <c r="B34" i="7"/>
  <c r="F33" i="7"/>
  <c r="B35" i="7"/>
  <c r="F34" i="7"/>
  <c r="C34" i="7"/>
  <c r="D34" i="7"/>
  <c r="E34" i="7"/>
  <c r="C35" i="7"/>
  <c r="D35" i="7"/>
  <c r="E35" i="7"/>
  <c r="F35" i="7"/>
  <c r="B36" i="7"/>
  <c r="F36" i="7"/>
  <c r="C36" i="7"/>
  <c r="D36" i="7"/>
  <c r="E36" i="7"/>
  <c r="B37" i="7"/>
  <c r="F37" i="7"/>
  <c r="B38" i="7"/>
  <c r="C37" i="7"/>
  <c r="D37" i="7"/>
  <c r="E37" i="7"/>
  <c r="C38" i="7"/>
  <c r="D38" i="7"/>
  <c r="E38" i="7"/>
  <c r="B39" i="7"/>
  <c r="F38" i="7"/>
  <c r="C39" i="7"/>
  <c r="D39" i="7"/>
  <c r="E39" i="7"/>
  <c r="B40" i="7"/>
  <c r="F39" i="7"/>
  <c r="C40" i="7"/>
  <c r="D40" i="7"/>
  <c r="E40" i="7"/>
  <c r="B41" i="7"/>
  <c r="F40" i="7"/>
  <c r="B42" i="7"/>
  <c r="F41" i="7"/>
  <c r="C41" i="7"/>
  <c r="D41" i="7"/>
  <c r="E41" i="7"/>
  <c r="F42" i="7"/>
  <c r="C42" i="7"/>
  <c r="D42" i="7"/>
  <c r="E42" i="7"/>
  <c r="B43" i="7"/>
  <c r="B44" i="7"/>
  <c r="C43" i="7"/>
  <c r="D43" i="7"/>
  <c r="E43" i="7"/>
  <c r="F43" i="7"/>
  <c r="C44" i="7"/>
  <c r="D44" i="7"/>
  <c r="E44" i="7"/>
  <c r="F44" i="7"/>
  <c r="B45" i="7"/>
  <c r="B46" i="7"/>
  <c r="C45" i="7"/>
  <c r="D45" i="7"/>
  <c r="E45" i="7"/>
  <c r="F45" i="7"/>
  <c r="C46" i="7"/>
  <c r="D46" i="7"/>
  <c r="E46" i="7"/>
  <c r="B47" i="7"/>
  <c r="F46" i="7"/>
  <c r="B48" i="7"/>
  <c r="F47" i="7"/>
  <c r="C47" i="7"/>
  <c r="D47" i="7"/>
  <c r="E47" i="7"/>
  <c r="F48" i="7"/>
  <c r="B49" i="7"/>
  <c r="C48" i="7"/>
  <c r="D48" i="7"/>
  <c r="E48" i="7"/>
  <c r="G48" i="7" s="1"/>
  <c r="C49" i="7"/>
  <c r="D49" i="7"/>
  <c r="E49" i="7"/>
  <c r="B50" i="7"/>
  <c r="F49" i="7"/>
  <c r="C50" i="7"/>
  <c r="D50" i="7"/>
  <c r="E50" i="7"/>
  <c r="B51" i="7"/>
  <c r="F50" i="7"/>
  <c r="C51" i="7"/>
  <c r="D51" i="7"/>
  <c r="E51" i="7"/>
  <c r="B52" i="7"/>
  <c r="F51" i="7"/>
  <c r="F52" i="7"/>
  <c r="B53" i="7"/>
  <c r="C52" i="7"/>
  <c r="D52" i="7"/>
  <c r="E52" i="7"/>
  <c r="F53" i="7"/>
  <c r="C53" i="7"/>
  <c r="D53" i="7"/>
  <c r="E53" i="7"/>
  <c r="B54" i="7"/>
  <c r="C54" i="7"/>
  <c r="D54" i="7"/>
  <c r="E54" i="7"/>
  <c r="F54" i="7"/>
  <c r="G35" i="7" l="1"/>
  <c r="G34" i="7"/>
  <c r="R13" i="7"/>
  <c r="T13" i="7" s="1"/>
  <c r="V12" i="7"/>
  <c r="Q12" i="7"/>
  <c r="S12" i="7" s="1"/>
  <c r="U12" i="7" s="1"/>
  <c r="G25" i="7"/>
  <c r="G42" i="7"/>
  <c r="G28" i="7"/>
  <c r="G31" i="7"/>
  <c r="G52" i="7"/>
  <c r="G47" i="7"/>
  <c r="G39" i="7"/>
  <c r="G54" i="7"/>
  <c r="G18" i="7"/>
  <c r="G51" i="7"/>
  <c r="G50" i="7"/>
  <c r="G38" i="7"/>
  <c r="G29" i="7"/>
  <c r="G26" i="7"/>
  <c r="G30" i="7"/>
  <c r="G41" i="7"/>
  <c r="N12" i="7"/>
  <c r="G45" i="7"/>
  <c r="G44" i="7"/>
  <c r="G33" i="7"/>
  <c r="G32" i="7"/>
  <c r="G15" i="7"/>
  <c r="L13" i="7"/>
  <c r="M13" i="7" s="1"/>
  <c r="O13" i="7" s="1"/>
  <c r="G21" i="7"/>
  <c r="G49" i="7"/>
  <c r="G12" i="7"/>
  <c r="G13" i="7"/>
  <c r="G23" i="7"/>
  <c r="G20" i="7"/>
  <c r="G24" i="7"/>
  <c r="P14" i="7"/>
  <c r="U11" i="7"/>
  <c r="W11" i="7" s="1"/>
  <c r="G53" i="7"/>
  <c r="G43" i="7"/>
  <c r="G36" i="7"/>
  <c r="G14" i="7"/>
  <c r="G22" i="7"/>
  <c r="G19" i="7"/>
  <c r="G37" i="7"/>
  <c r="G46" i="7"/>
  <c r="G40" i="7"/>
  <c r="G17" i="7"/>
  <c r="V13" i="7" l="1"/>
  <c r="S13" i="7"/>
  <c r="U13" i="7" s="1"/>
  <c r="W12" i="7"/>
  <c r="Y12" i="7" s="1"/>
  <c r="R14" i="7"/>
  <c r="R15" i="7" s="1"/>
  <c r="L14" i="7"/>
  <c r="N14" i="7" s="1"/>
  <c r="N13" i="7"/>
  <c r="P15" i="7"/>
  <c r="Q14" i="7"/>
  <c r="W13" i="7" l="1"/>
  <c r="L15" i="7"/>
  <c r="M15" i="7" s="1"/>
  <c r="O15" i="7" s="1"/>
  <c r="T14" i="7"/>
  <c r="S14" i="7"/>
  <c r="U14" i="7" s="1"/>
  <c r="V14" i="7"/>
  <c r="M14" i="7"/>
  <c r="O14" i="7" s="1"/>
  <c r="Y13" i="7"/>
  <c r="P16" i="7"/>
  <c r="Q15" i="7"/>
  <c r="S15" i="7" s="1"/>
  <c r="V15" i="7"/>
  <c r="T15" i="7"/>
  <c r="R16" i="7"/>
  <c r="N15" i="7" l="1"/>
  <c r="L16" i="7"/>
  <c r="M16" i="7" s="1"/>
  <c r="O16" i="7" s="1"/>
  <c r="W14" i="7"/>
  <c r="Y14" i="7" s="1"/>
  <c r="Q16" i="7"/>
  <c r="S16" i="7" s="1"/>
  <c r="P17" i="7"/>
  <c r="V16" i="7"/>
  <c r="T16" i="7"/>
  <c r="R17" i="7"/>
  <c r="H34" i="10" s="1"/>
  <c r="U15" i="7"/>
  <c r="W15" i="7" s="1"/>
  <c r="N16" i="7"/>
  <c r="L17" i="7"/>
  <c r="C34" i="10" s="1"/>
  <c r="Y15" i="7" l="1"/>
  <c r="E34" i="10"/>
  <c r="Q17" i="7"/>
  <c r="S17" i="7" s="1"/>
  <c r="M17" i="7"/>
  <c r="O17" i="7" s="1"/>
  <c r="P18" i="7"/>
  <c r="T17" i="7"/>
  <c r="I34" i="10" s="1"/>
  <c r="R18" i="7"/>
  <c r="V17" i="7"/>
  <c r="K34" i="10" s="1"/>
  <c r="U16" i="7"/>
  <c r="W16" i="7" s="1"/>
  <c r="Y16" i="7" s="1"/>
  <c r="L18" i="7"/>
  <c r="N17" i="7"/>
  <c r="D34" i="10" s="1"/>
  <c r="F34" i="10" l="1"/>
  <c r="Q18" i="7"/>
  <c r="S18" i="7" s="1"/>
  <c r="P19" i="7"/>
  <c r="V18" i="7"/>
  <c r="R19" i="7"/>
  <c r="T18" i="7"/>
  <c r="AA11" i="7"/>
  <c r="AB11" i="7" s="1"/>
  <c r="AA16" i="7"/>
  <c r="AB16" i="7" s="1"/>
  <c r="AA12" i="7"/>
  <c r="AB12" i="7" s="1"/>
  <c r="AA13" i="7"/>
  <c r="AB13" i="7" s="1"/>
  <c r="AA17" i="7"/>
  <c r="AA15" i="7"/>
  <c r="AB15" i="7" s="1"/>
  <c r="AA14" i="7"/>
  <c r="AB14" i="7" s="1"/>
  <c r="L19" i="7"/>
  <c r="M19" i="7" s="1"/>
  <c r="O19" i="7" s="1"/>
  <c r="N18" i="7"/>
  <c r="AA18" i="7" s="1"/>
  <c r="M18" i="7"/>
  <c r="O18" i="7" s="1"/>
  <c r="U17" i="7" l="1"/>
  <c r="J34" i="10" s="1"/>
  <c r="P20" i="7"/>
  <c r="Q19" i="7"/>
  <c r="S19" i="7" s="1"/>
  <c r="T19" i="7"/>
  <c r="R20" i="7"/>
  <c r="V19" i="7"/>
  <c r="U18" i="7"/>
  <c r="W18" i="7" s="1"/>
  <c r="L20" i="7"/>
  <c r="M20" i="7" s="1"/>
  <c r="O20" i="7" s="1"/>
  <c r="N19" i="7"/>
  <c r="AB17" i="7" l="1"/>
  <c r="W17" i="7"/>
  <c r="U19" i="7"/>
  <c r="W19" i="7" s="1"/>
  <c r="Q20" i="7"/>
  <c r="S20" i="7" s="1"/>
  <c r="P21" i="7"/>
  <c r="V20" i="7"/>
  <c r="T20" i="7"/>
  <c r="R21" i="7"/>
  <c r="AB18" i="7"/>
  <c r="AA19" i="7"/>
  <c r="N20" i="7"/>
  <c r="L21" i="7"/>
  <c r="L34" i="10" l="1"/>
  <c r="M34" i="10" s="1"/>
  <c r="Y18" i="7"/>
  <c r="AB19" i="7"/>
  <c r="P22" i="7"/>
  <c r="Q21" i="7"/>
  <c r="S21" i="7" s="1"/>
  <c r="R22" i="7"/>
  <c r="V21" i="7"/>
  <c r="T21" i="7"/>
  <c r="U20" i="7"/>
  <c r="W20" i="7" s="1"/>
  <c r="N21" i="7"/>
  <c r="L22" i="7"/>
  <c r="M22" i="7" s="1"/>
  <c r="O22" i="7" s="1"/>
  <c r="AA20" i="7"/>
  <c r="M21" i="7"/>
  <c r="O21" i="7" s="1"/>
  <c r="Y19" i="7"/>
  <c r="Y17" i="7" l="1"/>
  <c r="AB20" i="7"/>
  <c r="P23" i="7"/>
  <c r="Q22" i="7"/>
  <c r="S22" i="7" s="1"/>
  <c r="U21" i="7"/>
  <c r="W21" i="7" s="1"/>
  <c r="V22" i="7"/>
  <c r="R23" i="7"/>
  <c r="T22" i="7"/>
  <c r="L23" i="7"/>
  <c r="M23" i="7" s="1"/>
  <c r="O23" i="7" s="1"/>
  <c r="N22" i="7"/>
  <c r="Y20" i="7"/>
  <c r="AA21" i="7"/>
  <c r="U22" i="7" l="1"/>
  <c r="W22" i="7" s="1"/>
  <c r="Y22" i="7" s="1"/>
  <c r="AB21" i="7"/>
  <c r="P24" i="7"/>
  <c r="E35" i="10" s="1"/>
  <c r="Q23" i="7"/>
  <c r="S23" i="7" s="1"/>
  <c r="V23" i="7"/>
  <c r="T23" i="7"/>
  <c r="R24" i="7"/>
  <c r="H35" i="10" s="1"/>
  <c r="N23" i="7"/>
  <c r="L24" i="7"/>
  <c r="C35" i="10" s="1"/>
  <c r="Y21" i="7"/>
  <c r="AA22" i="7"/>
  <c r="AB22" i="7" l="1"/>
  <c r="P25" i="7"/>
  <c r="Q24" i="7"/>
  <c r="U23" i="7"/>
  <c r="W23" i="7" s="1"/>
  <c r="V24" i="7"/>
  <c r="K35" i="10" s="1"/>
  <c r="T24" i="7"/>
  <c r="I35" i="10" s="1"/>
  <c r="R25" i="7"/>
  <c r="N24" i="7"/>
  <c r="D35" i="10" s="1"/>
  <c r="L25" i="7"/>
  <c r="AA23" i="7"/>
  <c r="M24" i="7"/>
  <c r="S24" i="7" l="1"/>
  <c r="G35" i="10" s="1"/>
  <c r="F35" i="10"/>
  <c r="AB23" i="7"/>
  <c r="Q25" i="7"/>
  <c r="S25" i="7" s="1"/>
  <c r="P26" i="7"/>
  <c r="R26" i="7"/>
  <c r="T25" i="7"/>
  <c r="V25" i="7"/>
  <c r="N25" i="7"/>
  <c r="L26" i="7"/>
  <c r="M25" i="7"/>
  <c r="O24" i="7"/>
  <c r="AA24" i="7"/>
  <c r="Y23" i="7"/>
  <c r="U24" i="7" l="1"/>
  <c r="AB24" i="7" s="1"/>
  <c r="U25" i="7"/>
  <c r="W25" i="7" s="1"/>
  <c r="P27" i="7"/>
  <c r="Q26" i="7"/>
  <c r="S26" i="7" s="1"/>
  <c r="V26" i="7"/>
  <c r="T26" i="7"/>
  <c r="R27" i="7"/>
  <c r="O25" i="7"/>
  <c r="M26" i="7"/>
  <c r="N26" i="7"/>
  <c r="L27" i="7"/>
  <c r="AA25" i="7"/>
  <c r="W24" i="7" l="1"/>
  <c r="J35" i="10"/>
  <c r="AB25" i="7"/>
  <c r="P28" i="7"/>
  <c r="Q27" i="7"/>
  <c r="S27" i="7" s="1"/>
  <c r="V27" i="7"/>
  <c r="R28" i="7"/>
  <c r="T27" i="7"/>
  <c r="U26" i="7"/>
  <c r="W26" i="7" s="1"/>
  <c r="N27" i="7"/>
  <c r="L28" i="7"/>
  <c r="AA26" i="7"/>
  <c r="M27" i="7"/>
  <c r="O26" i="7"/>
  <c r="U27" i="7" l="1"/>
  <c r="W27" i="7" s="1"/>
  <c r="Y24" i="7"/>
  <c r="L35" i="10"/>
  <c r="M35" i="10" s="1"/>
  <c r="AB26" i="7"/>
  <c r="Q28" i="7"/>
  <c r="S28" i="7" s="1"/>
  <c r="P29" i="7"/>
  <c r="T28" i="7"/>
  <c r="R29" i="7"/>
  <c r="V28" i="7"/>
  <c r="M28" i="7"/>
  <c r="O27" i="7"/>
  <c r="L29" i="7"/>
  <c r="N28" i="7"/>
  <c r="Y26" i="7"/>
  <c r="AA27" i="7"/>
  <c r="AB27" i="7" l="1"/>
  <c r="Y25" i="7"/>
  <c r="U28" i="7"/>
  <c r="W28" i="7" s="1"/>
  <c r="Q29" i="7"/>
  <c r="S29" i="7" s="1"/>
  <c r="P30" i="7"/>
  <c r="Q30" i="7" s="1"/>
  <c r="T29" i="7"/>
  <c r="V29" i="7"/>
  <c r="R30" i="7"/>
  <c r="N29" i="7"/>
  <c r="L30" i="7"/>
  <c r="Y27" i="7"/>
  <c r="AA28" i="7"/>
  <c r="O28" i="7"/>
  <c r="M29" i="7"/>
  <c r="AB28" i="7" l="1"/>
  <c r="P31" i="7"/>
  <c r="S30" i="7"/>
  <c r="T30" i="7"/>
  <c r="R31" i="7"/>
  <c r="H36" i="10" s="1"/>
  <c r="V30" i="7"/>
  <c r="U29" i="7"/>
  <c r="W29" i="7" s="1"/>
  <c r="M30" i="7"/>
  <c r="O29" i="7"/>
  <c r="L31" i="7"/>
  <c r="C36" i="10" s="1"/>
  <c r="N30" i="7"/>
  <c r="Y28" i="7"/>
  <c r="AA29" i="7"/>
  <c r="E36" i="10" l="1"/>
  <c r="Q31" i="7"/>
  <c r="AB29" i="7"/>
  <c r="P32" i="7"/>
  <c r="Q32" i="7" s="1"/>
  <c r="T31" i="7"/>
  <c r="I36" i="10" s="1"/>
  <c r="R32" i="7"/>
  <c r="V31" i="7"/>
  <c r="K36" i="10" s="1"/>
  <c r="U30" i="7"/>
  <c r="W30" i="7" s="1"/>
  <c r="AA30" i="7"/>
  <c r="O30" i="7"/>
  <c r="M31" i="7"/>
  <c r="Y29" i="7"/>
  <c r="L32" i="7"/>
  <c r="N31" i="7"/>
  <c r="D36" i="10" s="1"/>
  <c r="S31" i="7" l="1"/>
  <c r="G36" i="10" s="1"/>
  <c r="F36" i="10"/>
  <c r="P33" i="7"/>
  <c r="Q33" i="7" s="1"/>
  <c r="S32" i="7"/>
  <c r="AB30" i="7"/>
  <c r="V32" i="7"/>
  <c r="T32" i="7"/>
  <c r="R33" i="7"/>
  <c r="L33" i="7"/>
  <c r="N32" i="7"/>
  <c r="Y30" i="7"/>
  <c r="AA31" i="7"/>
  <c r="O31" i="7"/>
  <c r="M32" i="7"/>
  <c r="U31" i="7" l="1"/>
  <c r="W31" i="7" s="1"/>
  <c r="U32" i="7"/>
  <c r="W32" i="7" s="1"/>
  <c r="S33" i="7"/>
  <c r="P34" i="7"/>
  <c r="Q34" i="7" s="1"/>
  <c r="V33" i="7"/>
  <c r="T33" i="7"/>
  <c r="R34" i="7"/>
  <c r="AA32" i="7"/>
  <c r="M33" i="7"/>
  <c r="O32" i="7"/>
  <c r="L34" i="7"/>
  <c r="N33" i="7"/>
  <c r="AB31" i="7" l="1"/>
  <c r="J36" i="10"/>
  <c r="AB32" i="7"/>
  <c r="Y32" i="7"/>
  <c r="L36" i="10"/>
  <c r="M36" i="10" s="1"/>
  <c r="U33" i="7"/>
  <c r="W33" i="7" s="1"/>
  <c r="S34" i="7"/>
  <c r="P35" i="7"/>
  <c r="Q35" i="7" s="1"/>
  <c r="R35" i="7"/>
  <c r="T34" i="7"/>
  <c r="V34" i="7"/>
  <c r="L35" i="7"/>
  <c r="N34" i="7"/>
  <c r="M34" i="7"/>
  <c r="O33" i="7"/>
  <c r="AA33" i="7"/>
  <c r="U34" i="7" l="1"/>
  <c r="W34" i="7" s="1"/>
  <c r="Y31" i="7"/>
  <c r="AB33" i="7"/>
  <c r="P36" i="7"/>
  <c r="Q36" i="7" s="1"/>
  <c r="S35" i="7"/>
  <c r="V35" i="7"/>
  <c r="R36" i="7"/>
  <c r="T35" i="7"/>
  <c r="AA34" i="7"/>
  <c r="AB34" i="7" s="1"/>
  <c r="Y33" i="7"/>
  <c r="O34" i="7"/>
  <c r="M35" i="7"/>
  <c r="L36" i="7"/>
  <c r="N35" i="7"/>
  <c r="U35" i="7" l="1"/>
  <c r="W35" i="7" s="1"/>
  <c r="P37" i="7"/>
  <c r="Q37" i="7" s="1"/>
  <c r="S36" i="7"/>
  <c r="R37" i="7"/>
  <c r="V36" i="7"/>
  <c r="T36" i="7"/>
  <c r="AA35" i="7"/>
  <c r="L37" i="7"/>
  <c r="N36" i="7"/>
  <c r="O35" i="7"/>
  <c r="M36" i="7"/>
  <c r="Y34" i="7"/>
  <c r="U36" i="7" l="1"/>
  <c r="AB35" i="7"/>
  <c r="S37" i="7"/>
  <c r="P38" i="7"/>
  <c r="W36" i="7"/>
  <c r="R38" i="7"/>
  <c r="H37" i="10" s="1"/>
  <c r="T37" i="7"/>
  <c r="V37" i="7"/>
  <c r="AA36" i="7"/>
  <c r="AB36" i="7" s="1"/>
  <c r="L38" i="7"/>
  <c r="C37" i="10" s="1"/>
  <c r="N37" i="7"/>
  <c r="M37" i="7"/>
  <c r="O36" i="7"/>
  <c r="Y35" i="7"/>
  <c r="E37" i="10" l="1"/>
  <c r="Q38" i="7"/>
  <c r="P39" i="7"/>
  <c r="Q39" i="7" s="1"/>
  <c r="F37" i="10"/>
  <c r="U37" i="7"/>
  <c r="W37" i="7" s="1"/>
  <c r="T38" i="7"/>
  <c r="I37" i="10" s="1"/>
  <c r="V38" i="7"/>
  <c r="K37" i="10" s="1"/>
  <c r="R39" i="7"/>
  <c r="AA37" i="7"/>
  <c r="L39" i="7"/>
  <c r="N38" i="7"/>
  <c r="D37" i="10" s="1"/>
  <c r="M38" i="7"/>
  <c r="O37" i="7"/>
  <c r="Y36" i="7"/>
  <c r="S38" i="7" l="1"/>
  <c r="G37" i="10" s="1"/>
  <c r="S39" i="7"/>
  <c r="P40" i="7"/>
  <c r="Q40" i="7" s="1"/>
  <c r="R40" i="7"/>
  <c r="T39" i="7"/>
  <c r="V39" i="7"/>
  <c r="AB37" i="7"/>
  <c r="AA38" i="7"/>
  <c r="N39" i="7"/>
  <c r="L40" i="7"/>
  <c r="M39" i="7"/>
  <c r="O38" i="7"/>
  <c r="Y37" i="7"/>
  <c r="U38" i="7" l="1"/>
  <c r="W38" i="7" s="1"/>
  <c r="P41" i="7"/>
  <c r="S40" i="7"/>
  <c r="U39" i="7"/>
  <c r="W39" i="7" s="1"/>
  <c r="V40" i="7"/>
  <c r="R41" i="7"/>
  <c r="T40" i="7"/>
  <c r="L41" i="7"/>
  <c r="N40" i="7"/>
  <c r="AA39" i="7"/>
  <c r="M40" i="7"/>
  <c r="O39" i="7"/>
  <c r="P42" i="7" l="1"/>
  <c r="Q41" i="7"/>
  <c r="J37" i="10"/>
  <c r="AB38" i="7"/>
  <c r="L37" i="10"/>
  <c r="M37" i="10" s="1"/>
  <c r="U40" i="7"/>
  <c r="W40" i="7" s="1"/>
  <c r="AB39" i="7"/>
  <c r="V41" i="7"/>
  <c r="T41" i="7"/>
  <c r="S41" i="7"/>
  <c r="R42" i="7"/>
  <c r="Y39" i="7"/>
  <c r="AA40" i="7"/>
  <c r="M41" i="7"/>
  <c r="O40" i="7"/>
  <c r="L42" i="7"/>
  <c r="N41" i="7"/>
  <c r="P43" i="7" l="1"/>
  <c r="Q42" i="7"/>
  <c r="AB40" i="7"/>
  <c r="Y38" i="7"/>
  <c r="Y55" i="7" s="1"/>
  <c r="U41" i="7"/>
  <c r="W41" i="7" s="1"/>
  <c r="V42" i="7"/>
  <c r="S42" i="7"/>
  <c r="T42" i="7"/>
  <c r="U42" i="7" s="1"/>
  <c r="R43" i="7"/>
  <c r="AA41" i="7"/>
  <c r="L43" i="7"/>
  <c r="N42" i="7"/>
  <c r="Y40" i="7"/>
  <c r="M42" i="7"/>
  <c r="O41" i="7"/>
  <c r="P44" i="7" l="1"/>
  <c r="Q43" i="7"/>
  <c r="S43" i="7" s="1"/>
  <c r="AB41" i="7"/>
  <c r="R44" i="7"/>
  <c r="V43" i="7"/>
  <c r="T43" i="7"/>
  <c r="W42" i="7"/>
  <c r="O42" i="7"/>
  <c r="M43" i="7"/>
  <c r="AA42" i="7"/>
  <c r="AB42" i="7" s="1"/>
  <c r="N43" i="7"/>
  <c r="L44" i="7"/>
  <c r="Y41" i="7"/>
  <c r="P45" i="7" l="1"/>
  <c r="Q44" i="7"/>
  <c r="U43" i="7"/>
  <c r="W43" i="7" s="1"/>
  <c r="S44" i="7"/>
  <c r="V44" i="7"/>
  <c r="R45" i="7"/>
  <c r="T44" i="7"/>
  <c r="Y42" i="7"/>
  <c r="L45" i="7"/>
  <c r="N44" i="7"/>
  <c r="O43" i="7"/>
  <c r="M44" i="7"/>
  <c r="AA43" i="7"/>
  <c r="P46" i="7" l="1"/>
  <c r="Q45" i="7"/>
  <c r="S45" i="7" s="1"/>
  <c r="AB43" i="7"/>
  <c r="U44" i="7"/>
  <c r="W44" i="7" s="1"/>
  <c r="T45" i="7"/>
  <c r="V45" i="7"/>
  <c r="R46" i="7"/>
  <c r="AA44" i="7"/>
  <c r="Y43" i="7"/>
  <c r="L46" i="7"/>
  <c r="N45" i="7"/>
  <c r="M45" i="7"/>
  <c r="O44" i="7"/>
  <c r="U45" i="7" l="1"/>
  <c r="P47" i="7"/>
  <c r="Q46" i="7"/>
  <c r="S46" i="7" s="1"/>
  <c r="AB44" i="7"/>
  <c r="W45" i="7"/>
  <c r="R47" i="7"/>
  <c r="V46" i="7"/>
  <c r="T46" i="7"/>
  <c r="AA45" i="7"/>
  <c r="AB45" i="7" s="1"/>
  <c r="N46" i="7"/>
  <c r="L47" i="7"/>
  <c r="Y44" i="7"/>
  <c r="O45" i="7"/>
  <c r="M46" i="7"/>
  <c r="P48" i="7" l="1"/>
  <c r="Q47" i="7"/>
  <c r="S47" i="7" s="1"/>
  <c r="U46" i="7"/>
  <c r="W46" i="7" s="1"/>
  <c r="T47" i="7"/>
  <c r="R48" i="7"/>
  <c r="V47" i="7"/>
  <c r="AA46" i="7"/>
  <c r="Y45" i="7"/>
  <c r="O46" i="7"/>
  <c r="M47" i="7"/>
  <c r="L48" i="7"/>
  <c r="N47" i="7"/>
  <c r="P49" i="7" l="1"/>
  <c r="Q48" i="7"/>
  <c r="U47" i="7"/>
  <c r="W47" i="7" s="1"/>
  <c r="AB46" i="7"/>
  <c r="T48" i="7"/>
  <c r="V48" i="7"/>
  <c r="R49" i="7"/>
  <c r="S48" i="7"/>
  <c r="N48" i="7"/>
  <c r="L49" i="7"/>
  <c r="M48" i="7"/>
  <c r="O47" i="7"/>
  <c r="Y46" i="7"/>
  <c r="AA47" i="7"/>
  <c r="AB47" i="7" l="1"/>
  <c r="P50" i="7"/>
  <c r="Q49" i="7"/>
  <c r="S49" i="7" s="1"/>
  <c r="R50" i="7"/>
  <c r="T49" i="7"/>
  <c r="V49" i="7"/>
  <c r="U48" i="7"/>
  <c r="W48" i="7" s="1"/>
  <c r="Y47" i="7"/>
  <c r="M49" i="7"/>
  <c r="O48" i="7"/>
  <c r="N49" i="7"/>
  <c r="L50" i="7"/>
  <c r="AA48" i="7"/>
  <c r="P51" i="7" l="1"/>
  <c r="Q50" i="7"/>
  <c r="U49" i="7"/>
  <c r="W49" i="7" s="1"/>
  <c r="S50" i="7"/>
  <c r="T50" i="7"/>
  <c r="V50" i="7"/>
  <c r="R51" i="7"/>
  <c r="AB48" i="7"/>
  <c r="Y48" i="7"/>
  <c r="M50" i="7"/>
  <c r="O49" i="7"/>
  <c r="N50" i="7"/>
  <c r="L51" i="7"/>
  <c r="AA49" i="7"/>
  <c r="P52" i="7" l="1"/>
  <c r="Q51" i="7"/>
  <c r="S51" i="7" s="1"/>
  <c r="AB49" i="7"/>
  <c r="U50" i="7"/>
  <c r="W50" i="7" s="1"/>
  <c r="R52" i="7"/>
  <c r="V51" i="7"/>
  <c r="T51" i="7"/>
  <c r="Y49" i="7"/>
  <c r="M51" i="7"/>
  <c r="O50" i="7"/>
  <c r="L52" i="7"/>
  <c r="N51" i="7"/>
  <c r="AA50" i="7"/>
  <c r="P53" i="7" l="1"/>
  <c r="Q53" i="7" s="1"/>
  <c r="Q52" i="7"/>
  <c r="AB50" i="7"/>
  <c r="R53" i="7"/>
  <c r="V52" i="7"/>
  <c r="T52" i="7"/>
  <c r="S52" i="7"/>
  <c r="U51" i="7"/>
  <c r="W51" i="7" s="1"/>
  <c r="Y50" i="7"/>
  <c r="O51" i="7"/>
  <c r="M52" i="7"/>
  <c r="AA51" i="7"/>
  <c r="L53" i="7"/>
  <c r="N53" i="7" s="1"/>
  <c r="N52" i="7"/>
  <c r="U52" i="7" l="1"/>
  <c r="W52" i="7" s="1"/>
  <c r="AB51" i="7"/>
  <c r="T53" i="7"/>
  <c r="V53" i="7"/>
  <c r="S53" i="7"/>
  <c r="AA53" i="7"/>
  <c r="AA52" i="7"/>
  <c r="M53" i="7"/>
  <c r="O53" i="7" s="1"/>
  <c r="O52" i="7"/>
  <c r="Y51" i="7"/>
  <c r="AB52" i="7" l="1"/>
  <c r="U53" i="7"/>
  <c r="W53" i="7" s="1"/>
  <c r="Y52" i="7"/>
  <c r="AB53" i="7" l="1"/>
  <c r="Y53" i="7"/>
  <c r="X55" i="7"/>
  <c r="Z52" i="7" s="1"/>
  <c r="Z46" i="7" l="1"/>
  <c r="Z35" i="7"/>
  <c r="Z25" i="7"/>
  <c r="Z45" i="7"/>
  <c r="Z34" i="7"/>
  <c r="Z15" i="7"/>
  <c r="Z51" i="7"/>
  <c r="Z41" i="7"/>
  <c r="Z30" i="7"/>
  <c r="Z50" i="7"/>
  <c r="Z39" i="7"/>
  <c r="Z29" i="7"/>
  <c r="Z12" i="7"/>
  <c r="Z21" i="7"/>
  <c r="Z49" i="7"/>
  <c r="Z43" i="7"/>
  <c r="Z38" i="7"/>
  <c r="Z33" i="7"/>
  <c r="Z27" i="7"/>
  <c r="Z19" i="7"/>
  <c r="Z47" i="7"/>
  <c r="Z42" i="7"/>
  <c r="Z37" i="7"/>
  <c r="Z31" i="7"/>
  <c r="Z26" i="7"/>
  <c r="Z18" i="7"/>
  <c r="Z48" i="7"/>
  <c r="Z44" i="7"/>
  <c r="Z40" i="7"/>
  <c r="Z36" i="7"/>
  <c r="Z32" i="7"/>
  <c r="Z28" i="7"/>
  <c r="Z23" i="7"/>
  <c r="Z13" i="7"/>
  <c r="Z22" i="7"/>
  <c r="Z17" i="7"/>
  <c r="Z14" i="7"/>
  <c r="Z53" i="7"/>
  <c r="Z24" i="7"/>
  <c r="Z20" i="7"/>
  <c r="Z16" i="7"/>
  <c r="Z11" i="7"/>
</calcChain>
</file>

<file path=xl/sharedStrings.xml><?xml version="1.0" encoding="utf-8"?>
<sst xmlns="http://schemas.openxmlformats.org/spreadsheetml/2006/main" count="190" uniqueCount="124">
  <si>
    <t>C</t>
  </si>
  <si>
    <t>Temperature</t>
  </si>
  <si>
    <t>Base MC</t>
  </si>
  <si>
    <t>Test Wt</t>
  </si>
  <si>
    <t>DM</t>
  </si>
  <si>
    <t>Moisture</t>
  </si>
  <si>
    <t>H2O</t>
  </si>
  <si>
    <t>Content</t>
  </si>
  <si>
    <t>in</t>
  </si>
  <si>
    <t>%wb</t>
  </si>
  <si>
    <t xml:space="preserve">lb/bu </t>
  </si>
  <si>
    <t>base MC</t>
  </si>
  <si>
    <t>lb H2O</t>
  </si>
  <si>
    <t>Wt loss @</t>
  </si>
  <si>
    <t>Market Value, $/bu</t>
  </si>
  <si>
    <t>Shrink</t>
  </si>
  <si>
    <t>cost,</t>
  </si>
  <si>
    <t>$/bu</t>
  </si>
  <si>
    <t>cost</t>
  </si>
  <si>
    <t>LP gas cost, $/gal</t>
  </si>
  <si>
    <t>Handling</t>
  </si>
  <si>
    <t>Drying &amp;</t>
  </si>
  <si>
    <t>Handling cost, $/bu</t>
  </si>
  <si>
    <t>Total</t>
  </si>
  <si>
    <t>F</t>
  </si>
  <si>
    <t>Relative Humidity, %</t>
  </si>
  <si>
    <t>humidity conditions.</t>
  </si>
  <si>
    <t xml:space="preserve"> %wb</t>
  </si>
  <si>
    <t xml:space="preserve"> lb/bu</t>
  </si>
  <si>
    <t>Drying and moisture shrink costs for wheat at different moisture levels.</t>
  </si>
  <si>
    <t>Days</t>
  </si>
  <si>
    <t>Optimum</t>
  </si>
  <si>
    <t>After</t>
  </si>
  <si>
    <t>Yield</t>
  </si>
  <si>
    <t>Wheat</t>
  </si>
  <si>
    <t>Bfore /</t>
  </si>
  <si>
    <t>Dry rate</t>
  </si>
  <si>
    <t>bu/ac</t>
  </si>
  <si>
    <t>/ day</t>
  </si>
  <si>
    <t>Cost</t>
  </si>
  <si>
    <t>Net</t>
  </si>
  <si>
    <t>Return</t>
  </si>
  <si>
    <t>$ / ac</t>
  </si>
  <si>
    <t>D &amp; H</t>
  </si>
  <si>
    <t>Gross</t>
  </si>
  <si>
    <t>Soybean</t>
  </si>
  <si>
    <t>$ per ac</t>
  </si>
  <si>
    <t>@ $/bu</t>
  </si>
  <si>
    <t>@% loss</t>
  </si>
  <si>
    <t>MC</t>
  </si>
  <si>
    <t>Prepared by Sam G. McNeill, PhD, PE, UK Extension Agricultural Engineer</t>
  </si>
  <si>
    <t>UKREC, Princeton, KY 42445-0469</t>
  </si>
  <si>
    <t>Please direct questions/comments to smcneill@uky.edu</t>
  </si>
  <si>
    <t>Ratio</t>
  </si>
  <si>
    <t xml:space="preserve">to </t>
  </si>
  <si>
    <t>max</t>
  </si>
  <si>
    <t>Diff</t>
  </si>
  <si>
    <t>per</t>
  </si>
  <si>
    <t>day</t>
  </si>
  <si>
    <t>loss</t>
  </si>
  <si>
    <t>Loss</t>
  </si>
  <si>
    <t>Costs</t>
  </si>
  <si>
    <t>Sbn</t>
  </si>
  <si>
    <t>$/ac</t>
  </si>
  <si>
    <t>Sub</t>
  </si>
  <si>
    <t>W+S</t>
  </si>
  <si>
    <t>D H YL</t>
  </si>
  <si>
    <t>Max</t>
  </si>
  <si>
    <t>Avg</t>
  </si>
  <si>
    <t>Income</t>
  </si>
  <si>
    <t>lost</t>
  </si>
  <si>
    <t>@ pt</t>
  </si>
  <si>
    <t>Cost trade-offs between drying wheat and planting beans early (@ June 2020 grain and energy prices).</t>
  </si>
  <si>
    <t>Ph: 270-365-7541 x 21326 or (from Lexington vicinity) 859-562-1326</t>
  </si>
  <si>
    <t>Equilibrium Moisture Content (%wb)</t>
  </si>
  <si>
    <t>Table 1. Equilibrium moisture content (%wb) for wheat at various temperature and relative</t>
  </si>
  <si>
    <t>Source: ASAE Data D245.4 (Avg. of Chung-Pfost &amp; Modified Henderson Eqn.</t>
  </si>
  <si>
    <t>Needed information:</t>
  </si>
  <si>
    <t>Soybeans</t>
  </si>
  <si>
    <t>What is calculated?</t>
  </si>
  <si>
    <r>
      <t>1.</t>
    </r>
    <r>
      <rPr>
        <sz val="7"/>
        <rFont val="Times New Roman"/>
        <family val="1"/>
      </rPr>
      <t> </t>
    </r>
  </si>
  <si>
    <t>Price ($ / bu)</t>
  </si>
  <si>
    <r>
      <t>2.</t>
    </r>
    <r>
      <rPr>
        <sz val="7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</si>
  <si>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> </t>
    </r>
  </si>
  <si>
    <t>Yield (bu / ac)</t>
  </si>
  <si>
    <t>Yield loss from delayed planting (%/day)</t>
  </si>
  <si>
    <t>Harvest loss (%/day)</t>
  </si>
  <si>
    <r>
      <t>4.</t>
    </r>
    <r>
      <rPr>
        <sz val="12"/>
        <rFont val="Times New Roman"/>
        <family val="1"/>
      </rPr>
      <t> </t>
    </r>
  </si>
  <si>
    <t xml:space="preserve">Costs and returns of drying wheat vs delayed soybean planting. </t>
  </si>
  <si>
    <t>Field drying rate (pt / day)</t>
  </si>
  <si>
    <t>Price of drying fuel</t>
  </si>
  <si>
    <r>
      <t>5.</t>
    </r>
    <r>
      <rPr>
        <sz val="12"/>
        <rFont val="Times New Roman"/>
        <family val="1"/>
      </rPr>
      <t> </t>
    </r>
  </si>
  <si>
    <r>
      <t>6.</t>
    </r>
    <r>
      <rPr>
        <sz val="12"/>
        <rFont val="Times New Roman"/>
        <family val="1"/>
      </rPr>
      <t> </t>
    </r>
  </si>
  <si>
    <r>
      <t>7.</t>
    </r>
    <r>
      <rPr>
        <sz val="12"/>
        <rFont val="Times New Roman"/>
        <family val="1"/>
      </rPr>
      <t> </t>
    </r>
  </si>
  <si>
    <r>
      <t>8.</t>
    </r>
    <r>
      <rPr>
        <sz val="12"/>
        <rFont val="Times New Roman"/>
        <family val="1"/>
      </rPr>
      <t> </t>
    </r>
  </si>
  <si>
    <t>$ / gal LP</t>
  </si>
  <si>
    <t>Drying and hauling costs for wheat (cents/bu and $/ac)</t>
  </si>
  <si>
    <t>Wheat and bean yield losses (bu/ac and $/ac)</t>
  </si>
  <si>
    <t>Harvest</t>
  </si>
  <si>
    <t>moisture</t>
  </si>
  <si>
    <t xml:space="preserve">$/bu  </t>
  </si>
  <si>
    <t>before</t>
  </si>
  <si>
    <t>/ after</t>
  </si>
  <si>
    <t>optimum</t>
  </si>
  <si>
    <t>Output:</t>
  </si>
  <si>
    <t xml:space="preserve">Wheat </t>
  </si>
  <si>
    <t>Fig. 1. Costs for wheat harvest loss, drying and handling plus soybean yield loss from delayed planting.</t>
  </si>
  <si>
    <t>Net DC</t>
  </si>
  <si>
    <t>Drying</t>
  </si>
  <si>
    <t>pts</t>
  </si>
  <si>
    <r>
      <t>4.</t>
    </r>
    <r>
      <rPr>
        <sz val="7"/>
        <rFont val="Times New Roman"/>
        <family val="1"/>
      </rPr>
      <t> </t>
    </r>
  </si>
  <si>
    <r>
      <t>9.</t>
    </r>
    <r>
      <rPr>
        <sz val="12"/>
        <rFont val="Times New Roman"/>
        <family val="1"/>
      </rPr>
      <t> </t>
    </r>
  </si>
  <si>
    <t>after DHY</t>
  </si>
  <si>
    <t>Gross returns to soybean and wheat crops</t>
  </si>
  <si>
    <t>Gross return after wheat harvest losses and drying costs</t>
  </si>
  <si>
    <t>Net return to the DC enterprise</t>
  </si>
  <si>
    <t>Return*</t>
  </si>
  <si>
    <t>D &amp; H Cost</t>
  </si>
  <si>
    <t>* Production costs from UK Agricultural Economics budget page (including land rent and machinery but not drying costs).</t>
  </si>
  <si>
    <t>Production costs* for wheat-soybean double-crop budget ($/ac, including machinery but not drying or cash rent).</t>
  </si>
  <si>
    <t>(https://anr.ca.uky.edu/content/decision-aids-budgets-calculators</t>
  </si>
  <si>
    <t>UK Ag. Econ. Dept. budget for wheat-soybean DC enterprises shows default values of $755 including cash rent of $165 and machinery.</t>
  </si>
  <si>
    <t>Value used here excludes cash rent:</t>
  </si>
  <si>
    <t>D H +Yld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</si>
</sst>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0.0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  <numFmt numFmtId="168" formatCode="0.0%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sz val="10"/>
      <color indexed="53"/>
      <name val="Arial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12"/>
      <name val="Arial"/>
    </font>
    <font>
      <b/>
      <sz val="10"/>
      <name val="Arial"/>
      <family val="2"/>
    </font>
    <font>
      <sz val="10"/>
      <color rgb="FFFF66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4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/>
    <xf numFmtId="44" fontId="0" fillId="0" borderId="0" xfId="0" applyNumberFormat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Border="1"/>
    <xf numFmtId="39" fontId="0" fillId="0" borderId="0" xfId="0" applyNumberFormat="1" applyBorder="1"/>
    <xf numFmtId="39" fontId="0" fillId="0" borderId="1" xfId="0" applyNumberFormat="1" applyBorder="1"/>
    <xf numFmtId="2" fontId="0" fillId="0" borderId="2" xfId="0" applyNumberFormat="1" applyBorder="1"/>
    <xf numFmtId="39" fontId="0" fillId="0" borderId="2" xfId="0" applyNumberFormat="1" applyBorder="1"/>
    <xf numFmtId="39" fontId="0" fillId="0" borderId="3" xfId="0" applyNumberFormat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16" xfId="0" applyNumberFormat="1" applyBorder="1"/>
    <xf numFmtId="16" fontId="0" fillId="0" borderId="0" xfId="0" applyNumberFormat="1"/>
    <xf numFmtId="0" fontId="2" fillId="0" borderId="0" xfId="0" applyFont="1"/>
    <xf numFmtId="165" fontId="2" fillId="0" borderId="0" xfId="0" applyNumberFormat="1" applyFont="1"/>
    <xf numFmtId="16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44" fontId="1" fillId="0" borderId="0" xfId="0" applyNumberFormat="1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2" fillId="0" borderId="0" xfId="0" applyFont="1" applyAlignment="1">
      <alignment horizontal="right"/>
    </xf>
    <xf numFmtId="16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44" fontId="4" fillId="0" borderId="0" xfId="0" applyNumberFormat="1" applyFont="1"/>
    <xf numFmtId="0" fontId="5" fillId="0" borderId="0" xfId="0" quotePrefix="1" applyFont="1" applyAlignment="1">
      <alignment horizontal="right"/>
    </xf>
    <xf numFmtId="165" fontId="5" fillId="0" borderId="0" xfId="0" applyNumberFormat="1" applyFont="1"/>
    <xf numFmtId="0" fontId="5" fillId="0" borderId="0" xfId="0" applyFont="1"/>
    <xf numFmtId="44" fontId="5" fillId="0" borderId="0" xfId="0" applyNumberFormat="1" applyFont="1"/>
    <xf numFmtId="166" fontId="5" fillId="0" borderId="0" xfId="0" applyNumberFormat="1" applyFont="1"/>
    <xf numFmtId="164" fontId="0" fillId="0" borderId="0" xfId="0" applyNumberFormat="1"/>
    <xf numFmtId="1" fontId="0" fillId="0" borderId="0" xfId="0" applyNumberFormat="1" applyBorder="1"/>
    <xf numFmtId="1" fontId="0" fillId="0" borderId="0" xfId="0" applyNumberFormat="1"/>
    <xf numFmtId="0" fontId="0" fillId="0" borderId="0" xfId="0" applyFont="1" applyAlignment="1">
      <alignment horizontal="right"/>
    </xf>
    <xf numFmtId="44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/>
    <xf numFmtId="2" fontId="0" fillId="0" borderId="0" xfId="0" applyNumberFormat="1"/>
    <xf numFmtId="44" fontId="7" fillId="0" borderId="0" xfId="0" applyNumberFormat="1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0" fillId="0" borderId="4" xfId="0" applyBorder="1"/>
    <xf numFmtId="165" fontId="5" fillId="0" borderId="4" xfId="0" applyNumberFormat="1" applyFont="1" applyBorder="1"/>
    <xf numFmtId="0" fontId="7" fillId="0" borderId="4" xfId="0" applyFont="1" applyBorder="1"/>
    <xf numFmtId="167" fontId="0" fillId="0" borderId="5" xfId="0" applyNumberFormat="1" applyBorder="1"/>
    <xf numFmtId="0" fontId="2" fillId="0" borderId="5" xfId="0" applyFont="1" applyBorder="1"/>
    <xf numFmtId="0" fontId="5" fillId="0" borderId="5" xfId="0" quotePrefix="1" applyFont="1" applyBorder="1" applyAlignment="1">
      <alignment horizontal="right"/>
    </xf>
    <xf numFmtId="1" fontId="0" fillId="0" borderId="4" xfId="0" applyNumberFormat="1" applyBorder="1"/>
    <xf numFmtId="16" fontId="0" fillId="0" borderId="4" xfId="0" applyNumberFormat="1" applyBorder="1"/>
    <xf numFmtId="0" fontId="0" fillId="0" borderId="6" xfId="0" applyBorder="1"/>
    <xf numFmtId="165" fontId="0" fillId="0" borderId="4" xfId="0" applyNumberFormat="1" applyBorder="1"/>
    <xf numFmtId="167" fontId="0" fillId="0" borderId="4" xfId="0" applyNumberFormat="1" applyBorder="1"/>
    <xf numFmtId="167" fontId="0" fillId="0" borderId="6" xfId="0" applyNumberFormat="1" applyBorder="1"/>
    <xf numFmtId="44" fontId="0" fillId="0" borderId="4" xfId="0" applyNumberFormat="1" applyBorder="1"/>
    <xf numFmtId="164" fontId="0" fillId="0" borderId="4" xfId="0" applyNumberFormat="1" applyBorder="1"/>
    <xf numFmtId="2" fontId="0" fillId="0" borderId="4" xfId="0" applyNumberFormat="1" applyBorder="1"/>
    <xf numFmtId="0" fontId="2" fillId="0" borderId="5" xfId="0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7" fontId="1" fillId="0" borderId="5" xfId="0" applyNumberFormat="1" applyFont="1" applyBorder="1"/>
    <xf numFmtId="167" fontId="2" fillId="0" borderId="5" xfId="0" applyNumberFormat="1" applyFont="1" applyBorder="1"/>
    <xf numFmtId="0" fontId="11" fillId="0" borderId="5" xfId="0" applyFont="1" applyBorder="1"/>
    <xf numFmtId="44" fontId="2" fillId="0" borderId="4" xfId="0" applyNumberFormat="1" applyFont="1" applyBorder="1"/>
    <xf numFmtId="44" fontId="2" fillId="0" borderId="6" xfId="0" applyNumberFormat="1" applyFont="1" applyBorder="1"/>
    <xf numFmtId="44" fontId="12" fillId="0" borderId="0" xfId="0" applyNumberFormat="1" applyFont="1"/>
    <xf numFmtId="44" fontId="13" fillId="0" borderId="0" xfId="0" applyNumberFormat="1" applyFont="1"/>
    <xf numFmtId="44" fontId="13" fillId="0" borderId="4" xfId="0" applyNumberFormat="1" applyFont="1" applyBorder="1"/>
    <xf numFmtId="0" fontId="10" fillId="0" borderId="0" xfId="0" applyFont="1"/>
    <xf numFmtId="16" fontId="0" fillId="2" borderId="19" xfId="0" applyNumberFormat="1" applyFill="1" applyBorder="1"/>
    <xf numFmtId="16" fontId="0" fillId="2" borderId="20" xfId="0" applyNumberFormat="1" applyFill="1" applyBorder="1"/>
    <xf numFmtId="44" fontId="0" fillId="0" borderId="0" xfId="0" applyNumberFormat="1" applyBorder="1"/>
    <xf numFmtId="167" fontId="0" fillId="0" borderId="0" xfId="0" applyNumberFormat="1" applyBorder="1"/>
    <xf numFmtId="44" fontId="13" fillId="0" borderId="0" xfId="0" applyNumberFormat="1" applyFont="1" applyBorder="1"/>
    <xf numFmtId="164" fontId="0" fillId="0" borderId="0" xfId="0" applyNumberFormat="1" applyBorder="1"/>
    <xf numFmtId="2" fontId="0" fillId="0" borderId="21" xfId="0" applyNumberFormat="1" applyBorder="1"/>
    <xf numFmtId="16" fontId="1" fillId="2" borderId="20" xfId="0" applyNumberFormat="1" applyFont="1" applyFill="1" applyBorder="1"/>
    <xf numFmtId="165" fontId="1" fillId="0" borderId="0" xfId="0" applyNumberFormat="1" applyFont="1" applyBorder="1"/>
    <xf numFmtId="44" fontId="1" fillId="0" borderId="0" xfId="0" applyNumberFormat="1" applyFont="1" applyBorder="1"/>
    <xf numFmtId="16" fontId="2" fillId="2" borderId="20" xfId="0" applyNumberFormat="1" applyFont="1" applyFill="1" applyBorder="1"/>
    <xf numFmtId="16" fontId="0" fillId="2" borderId="22" xfId="0" applyNumberFormat="1" applyFill="1" applyBorder="1"/>
    <xf numFmtId="165" fontId="0" fillId="0" borderId="23" xfId="0" applyNumberFormat="1" applyBorder="1"/>
    <xf numFmtId="0" fontId="0" fillId="3" borderId="25" xfId="0" applyFill="1" applyBorder="1"/>
    <xf numFmtId="165" fontId="0" fillId="3" borderId="26" xfId="0" applyNumberFormat="1" applyFill="1" applyBorder="1"/>
    <xf numFmtId="167" fontId="0" fillId="3" borderId="25" xfId="0" applyNumberFormat="1" applyFill="1" applyBorder="1"/>
    <xf numFmtId="44" fontId="0" fillId="3" borderId="26" xfId="0" applyNumberFormat="1" applyFill="1" applyBorder="1"/>
    <xf numFmtId="167" fontId="0" fillId="3" borderId="26" xfId="0" applyNumberFormat="1" applyFill="1" applyBorder="1"/>
    <xf numFmtId="44" fontId="12" fillId="3" borderId="26" xfId="0" applyNumberFormat="1" applyFont="1" applyFill="1" applyBorder="1"/>
    <xf numFmtId="164" fontId="0" fillId="3" borderId="26" xfId="0" applyNumberFormat="1" applyFill="1" applyBorder="1"/>
    <xf numFmtId="2" fontId="0" fillId="3" borderId="26" xfId="0" applyNumberFormat="1" applyFill="1" applyBorder="1"/>
    <xf numFmtId="44" fontId="0" fillId="0" borderId="0" xfId="0" applyNumberFormat="1" applyFill="1" applyBorder="1"/>
    <xf numFmtId="44" fontId="13" fillId="3" borderId="0" xfId="0" applyNumberFormat="1" applyFont="1" applyFill="1" applyBorder="1"/>
    <xf numFmtId="0" fontId="0" fillId="3" borderId="5" xfId="0" applyFill="1" applyBorder="1"/>
    <xf numFmtId="165" fontId="0" fillId="3" borderId="0" xfId="0" applyNumberFormat="1" applyFill="1" applyBorder="1"/>
    <xf numFmtId="167" fontId="0" fillId="3" borderId="5" xfId="0" applyNumberFormat="1" applyFill="1" applyBorder="1"/>
    <xf numFmtId="44" fontId="0" fillId="3" borderId="0" xfId="0" applyNumberFormat="1" applyFill="1" applyBorder="1"/>
    <xf numFmtId="165" fontId="0" fillId="3" borderId="0" xfId="0" applyNumberFormat="1" applyFill="1"/>
    <xf numFmtId="167" fontId="0" fillId="3" borderId="0" xfId="0" applyNumberFormat="1" applyFill="1" applyBorder="1"/>
    <xf numFmtId="164" fontId="0" fillId="3" borderId="0" xfId="0" applyNumberFormat="1" applyFill="1" applyBorder="1"/>
    <xf numFmtId="2" fontId="0" fillId="3" borderId="0" xfId="0" applyNumberFormat="1" applyFill="1" applyBorder="1"/>
    <xf numFmtId="2" fontId="0" fillId="3" borderId="21" xfId="0" applyNumberFormat="1" applyFill="1" applyBorder="1"/>
    <xf numFmtId="0" fontId="0" fillId="3" borderId="27" xfId="0" applyFill="1" applyBorder="1"/>
    <xf numFmtId="165" fontId="0" fillId="3" borderId="28" xfId="0" applyNumberFormat="1" applyFill="1" applyBorder="1"/>
    <xf numFmtId="167" fontId="0" fillId="3" borderId="27" xfId="0" applyNumberFormat="1" applyFill="1" applyBorder="1"/>
    <xf numFmtId="165" fontId="0" fillId="0" borderId="29" xfId="0" applyNumberFormat="1" applyBorder="1"/>
    <xf numFmtId="9" fontId="0" fillId="0" borderId="24" xfId="0" applyNumberFormat="1" applyBorder="1"/>
    <xf numFmtId="9" fontId="0" fillId="0" borderId="0" xfId="0" applyNumberFormat="1" applyBorder="1"/>
    <xf numFmtId="9" fontId="0" fillId="0" borderId="1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65" fontId="0" fillId="0" borderId="36" xfId="0" applyNumberForma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4"/>
    </xf>
    <xf numFmtId="0" fontId="16" fillId="0" borderId="0" xfId="0" applyFont="1" applyAlignment="1">
      <alignment horizontal="right" vertical="center"/>
    </xf>
    <xf numFmtId="0" fontId="18" fillId="0" borderId="0" xfId="0" applyFont="1"/>
    <xf numFmtId="0" fontId="20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5" fontId="22" fillId="0" borderId="0" xfId="0" applyNumberFormat="1" applyFont="1"/>
    <xf numFmtId="0" fontId="2" fillId="0" borderId="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44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44" fontId="2" fillId="4" borderId="0" xfId="0" applyNumberFormat="1" applyFont="1" applyFill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vertical="center"/>
    </xf>
    <xf numFmtId="44" fontId="23" fillId="0" borderId="0" xfId="1" applyFont="1"/>
    <xf numFmtId="0" fontId="23" fillId="0" borderId="0" xfId="0" applyFont="1"/>
    <xf numFmtId="168" fontId="23" fillId="0" borderId="0" xfId="3" applyNumberFormat="1" applyFont="1"/>
    <xf numFmtId="44" fontId="23" fillId="0" borderId="0" xfId="1" applyFont="1" applyFill="1"/>
    <xf numFmtId="0" fontId="23" fillId="0" borderId="0" xfId="0" applyFont="1" applyFill="1"/>
    <xf numFmtId="168" fontId="23" fillId="0" borderId="0" xfId="3" applyNumberFormat="1" applyFont="1" applyFill="1"/>
    <xf numFmtId="165" fontId="2" fillId="0" borderId="17" xfId="0" applyNumberFormat="1" applyFont="1" applyBorder="1" applyAlignment="1">
      <alignment horizontal="right" vertical="center"/>
    </xf>
    <xf numFmtId="165" fontId="2" fillId="4" borderId="18" xfId="0" applyNumberFormat="1" applyFont="1" applyFill="1" applyBorder="1" applyAlignment="1">
      <alignment horizontal="right" vertical="center"/>
    </xf>
    <xf numFmtId="165" fontId="2" fillId="4" borderId="17" xfId="0" applyNumberFormat="1" applyFont="1" applyFill="1" applyBorder="1" applyAlignment="1">
      <alignment horizontal="right" vertical="center"/>
    </xf>
    <xf numFmtId="167" fontId="2" fillId="0" borderId="1" xfId="1" applyNumberFormat="1" applyFont="1" applyBorder="1" applyAlignment="1">
      <alignment horizontal="right" vertical="center"/>
    </xf>
    <xf numFmtId="167" fontId="2" fillId="4" borderId="1" xfId="1" applyNumberFormat="1" applyFont="1" applyFill="1" applyBorder="1" applyAlignment="1">
      <alignment horizontal="right" vertical="center"/>
    </xf>
    <xf numFmtId="167" fontId="2" fillId="4" borderId="3" xfId="1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4" borderId="0" xfId="0" applyNumberFormat="1" applyFont="1" applyFill="1" applyAlignment="1">
      <alignment vertical="center"/>
    </xf>
    <xf numFmtId="167" fontId="2" fillId="4" borderId="2" xfId="0" applyNumberFormat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167" fontId="2" fillId="0" borderId="1" xfId="1" applyNumberFormat="1" applyFont="1" applyBorder="1" applyAlignment="1">
      <alignment vertical="center"/>
    </xf>
    <xf numFmtId="167" fontId="2" fillId="4" borderId="0" xfId="1" applyNumberFormat="1" applyFont="1" applyFill="1" applyAlignment="1">
      <alignment vertical="center"/>
    </xf>
    <xf numFmtId="167" fontId="2" fillId="4" borderId="1" xfId="1" applyNumberFormat="1" applyFont="1" applyFill="1" applyBorder="1" applyAlignment="1">
      <alignment vertical="center"/>
    </xf>
    <xf numFmtId="167" fontId="2" fillId="4" borderId="2" xfId="1" applyNumberFormat="1" applyFont="1" applyFill="1" applyBorder="1" applyAlignment="1">
      <alignment vertical="center"/>
    </xf>
    <xf numFmtId="167" fontId="2" fillId="4" borderId="3" xfId="1" applyNumberFormat="1" applyFont="1" applyFill="1" applyBorder="1" applyAlignment="1">
      <alignment vertical="center"/>
    </xf>
    <xf numFmtId="44" fontId="24" fillId="0" borderId="0" xfId="0" applyNumberFormat="1" applyFont="1"/>
    <xf numFmtId="0" fontId="24" fillId="0" borderId="0" xfId="0" applyFont="1"/>
    <xf numFmtId="165" fontId="21" fillId="0" borderId="0" xfId="0" applyNumberFormat="1" applyFont="1"/>
    <xf numFmtId="168" fontId="22" fillId="0" borderId="4" xfId="3" applyNumberFormat="1" applyFont="1" applyBorder="1"/>
    <xf numFmtId="44" fontId="22" fillId="0" borderId="6" xfId="0" applyNumberFormat="1" applyFont="1" applyBorder="1"/>
    <xf numFmtId="165" fontId="22" fillId="0" borderId="4" xfId="0" applyNumberFormat="1" applyFont="1" applyBorder="1"/>
    <xf numFmtId="10" fontId="22" fillId="0" borderId="4" xfId="3" applyNumberFormat="1" applyFont="1" applyBorder="1"/>
    <xf numFmtId="0" fontId="18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7" fontId="23" fillId="0" borderId="0" xfId="1" applyNumberFormat="1" applyFont="1"/>
    <xf numFmtId="44" fontId="2" fillId="0" borderId="0" xfId="1" applyFont="1" applyAlignment="1">
      <alignment horizontal="right" vertical="center"/>
    </xf>
    <xf numFmtId="44" fontId="0" fillId="0" borderId="4" xfId="0" applyNumberFormat="1" applyFill="1" applyBorder="1"/>
    <xf numFmtId="165" fontId="2" fillId="0" borderId="0" xfId="0" applyNumberFormat="1" applyFont="1" applyBorder="1"/>
    <xf numFmtId="0" fontId="2" fillId="3" borderId="5" xfId="0" applyFont="1" applyFill="1" applyBorder="1"/>
    <xf numFmtId="165" fontId="2" fillId="3" borderId="0" xfId="0" applyNumberFormat="1" applyFont="1" applyFill="1" applyBorder="1"/>
    <xf numFmtId="167" fontId="2" fillId="3" borderId="5" xfId="0" applyNumberFormat="1" applyFont="1" applyFill="1" applyBorder="1"/>
    <xf numFmtId="44" fontId="2" fillId="3" borderId="0" xfId="0" applyNumberFormat="1" applyFont="1" applyFill="1" applyBorder="1"/>
    <xf numFmtId="165" fontId="2" fillId="3" borderId="0" xfId="0" applyNumberFormat="1" applyFont="1" applyFill="1"/>
    <xf numFmtId="167" fontId="2" fillId="3" borderId="0" xfId="0" applyNumberFormat="1" applyFont="1" applyFill="1" applyBorder="1"/>
    <xf numFmtId="164" fontId="2" fillId="3" borderId="0" xfId="0" applyNumberFormat="1" applyFont="1" applyFill="1" applyBorder="1"/>
    <xf numFmtId="2" fontId="2" fillId="3" borderId="0" xfId="0" applyNumberFormat="1" applyFont="1" applyFill="1" applyBorder="1"/>
    <xf numFmtId="2" fontId="2" fillId="3" borderId="21" xfId="0" applyNumberFormat="1" applyFont="1" applyFill="1" applyBorder="1"/>
    <xf numFmtId="44" fontId="2" fillId="0" borderId="0" xfId="0" applyNumberFormat="1" applyFont="1" applyBorder="1"/>
    <xf numFmtId="167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2" fontId="2" fillId="0" borderId="21" xfId="0" applyNumberFormat="1" applyFont="1" applyBorder="1"/>
    <xf numFmtId="165" fontId="2" fillId="0" borderId="14" xfId="0" applyNumberFormat="1" applyFont="1" applyBorder="1"/>
    <xf numFmtId="39" fontId="2" fillId="0" borderId="0" xfId="0" applyNumberFormat="1" applyFont="1" applyBorder="1"/>
    <xf numFmtId="39" fontId="2" fillId="0" borderId="1" xfId="0" applyNumberFormat="1" applyFont="1" applyBorder="1"/>
    <xf numFmtId="0" fontId="25" fillId="0" borderId="0" xfId="5"/>
    <xf numFmtId="167" fontId="22" fillId="0" borderId="0" xfId="1" applyNumberFormat="1" applyFont="1"/>
    <xf numFmtId="167" fontId="0" fillId="3" borderId="0" xfId="0" applyNumberFormat="1" applyFill="1"/>
    <xf numFmtId="167" fontId="0" fillId="0" borderId="23" xfId="0" applyNumberFormat="1" applyBorder="1"/>
    <xf numFmtId="0" fontId="26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Currency" xfId="1" builtinId="4"/>
    <cellStyle name="Hyperlink" xfId="5" builtinId="8"/>
    <cellStyle name="Normal" xfId="0" builtinId="0"/>
    <cellStyle name="Normal 2" xfId="2" xr:uid="{00000000-0005-0000-0000-000002000000}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colors>
    <mruColors>
      <color rgb="FF0000FF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20102174728158"/>
          <c:y val="0.18837182852143483"/>
          <c:w val="0.69303441967821056"/>
          <c:h val="0.63684725194886815"/>
        </c:manualLayout>
      </c:layout>
      <c:scatterChart>
        <c:scatterStyle val="smoothMarker"/>
        <c:varyColors val="0"/>
        <c:ser>
          <c:idx val="3"/>
          <c:order val="0"/>
          <c:tx>
            <c:v>Sbn Yld Loss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'2020'!$AA$18:$AA$38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9.3150000000000546</c:v>
                </c:pt>
                <c:pt idx="8">
                  <c:v>18.415755000000047</c:v>
                </c:pt>
                <c:pt idx="9">
                  <c:v>27.307192635000035</c:v>
                </c:pt>
                <c:pt idx="10">
                  <c:v>35.994127204395056</c:v>
                </c:pt>
                <c:pt idx="11">
                  <c:v>44.481262278693976</c:v>
                </c:pt>
                <c:pt idx="12">
                  <c:v>52.773193246283995</c:v>
                </c:pt>
                <c:pt idx="13">
                  <c:v>60.874409801619493</c:v>
                </c:pt>
                <c:pt idx="14">
                  <c:v>68.789298376182273</c:v>
                </c:pt>
                <c:pt idx="15">
                  <c:v>76.522144513530066</c:v>
                </c:pt>
                <c:pt idx="16">
                  <c:v>84.077135189718888</c:v>
                </c:pt>
                <c:pt idx="17">
                  <c:v>91.45836108035536</c:v>
                </c:pt>
                <c:pt idx="18">
                  <c:v>98.669818775507224</c:v>
                </c:pt>
                <c:pt idx="19">
                  <c:v>105.71541294367057</c:v>
                </c:pt>
                <c:pt idx="20">
                  <c:v>112.59895844596616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95-432C-A09C-A5203B6566F6}"/>
            </c:ext>
          </c:extLst>
        </c:ser>
        <c:ser>
          <c:idx val="2"/>
          <c:order val="1"/>
          <c:tx>
            <c:v>Wht Yld Loss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'2020'!$T$18:$T$38</c:f>
              <c:numCache>
                <c:formatCode>_("$"* #,##0.00_);_("$"* \(#,##0.00\);_("$"* "-"??_);_(@_)</c:formatCode>
                <c:ptCount val="21"/>
                <c:pt idx="0">
                  <c:v>2.1249999999999858</c:v>
                </c:pt>
                <c:pt idx="1">
                  <c:v>4.2393750000000097</c:v>
                </c:pt>
                <c:pt idx="2">
                  <c:v>6.3431781250000085</c:v>
                </c:pt>
                <c:pt idx="3">
                  <c:v>8.4364622343750284</c:v>
                </c:pt>
                <c:pt idx="4">
                  <c:v>10.519279923203158</c:v>
                </c:pt>
                <c:pt idx="5">
                  <c:v>12.591683523587136</c:v>
                </c:pt>
                <c:pt idx="6">
                  <c:v>14.653725105969215</c:v>
                </c:pt>
                <c:pt idx="7">
                  <c:v>16.705456480439338</c:v>
                </c:pt>
                <c:pt idx="8">
                  <c:v>18.746929198037137</c:v>
                </c:pt>
                <c:pt idx="9">
                  <c:v>20.778194552046969</c:v>
                </c:pt>
                <c:pt idx="10">
                  <c:v>22.799303579286772</c:v>
                </c:pt>
                <c:pt idx="11">
                  <c:v>24.810307061390304</c:v>
                </c:pt>
                <c:pt idx="12">
                  <c:v>26.811255526083357</c:v>
                </c:pt>
                <c:pt idx="13">
                  <c:v>28.802199248452922</c:v>
                </c:pt>
                <c:pt idx="14">
                  <c:v>30.783188252210678</c:v>
                </c:pt>
                <c:pt idx="15">
                  <c:v>32.754272310949659</c:v>
                </c:pt>
                <c:pt idx="16">
                  <c:v>34.71550094939488</c:v>
                </c:pt>
                <c:pt idx="17">
                  <c:v>36.666923444647921</c:v>
                </c:pt>
                <c:pt idx="18">
                  <c:v>38.608588827424697</c:v>
                </c:pt>
                <c:pt idx="19">
                  <c:v>40.540545883287606</c:v>
                </c:pt>
                <c:pt idx="20">
                  <c:v>42.462843153871148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95-432C-A09C-A5203B6566F6}"/>
            </c:ext>
          </c:extLst>
        </c:ser>
        <c:ser>
          <c:idx val="0"/>
          <c:order val="2"/>
          <c:tx>
            <c:v>Wheat D&amp;H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'2020'!$S$18:$S$38</c:f>
              <c:numCache>
                <c:formatCode>_("$"* #,##0.00_);_("$"* \(#,##0.00\);_("$"* "-"??_);_(@_)</c:formatCode>
                <c:ptCount val="21"/>
                <c:pt idx="0">
                  <c:v>20.059498499999997</c:v>
                </c:pt>
                <c:pt idx="1">
                  <c:v>18.333381952499995</c:v>
                </c:pt>
                <c:pt idx="2">
                  <c:v>16.624025083012498</c:v>
                </c:pt>
                <c:pt idx="3">
                  <c:v>14.931303447671061</c:v>
                </c:pt>
                <c:pt idx="4">
                  <c:v>13.255093428055963</c:v>
                </c:pt>
                <c:pt idx="5">
                  <c:v>11.595272226050822</c:v>
                </c:pt>
                <c:pt idx="6">
                  <c:v>9.9517178587300332</c:v>
                </c:pt>
                <c:pt idx="7">
                  <c:v>8.3243091532768023</c:v>
                </c:pt>
                <c:pt idx="8">
                  <c:v>6.7129257419316328</c:v>
                </c:pt>
                <c:pt idx="9">
                  <c:v>5.1174480569710852</c:v>
                </c:pt>
                <c:pt idx="10">
                  <c:v>3.5377573257165928</c:v>
                </c:pt>
                <c:pt idx="11">
                  <c:v>1.9737355655732229</c:v>
                </c:pt>
                <c:pt idx="12">
                  <c:v>2.7137066392930738</c:v>
                </c:pt>
                <c:pt idx="13">
                  <c:v>7.861140654620888</c:v>
                </c:pt>
                <c:pt idx="14">
                  <c:v>13.698989914211898</c:v>
                </c:pt>
                <c:pt idx="15">
                  <c:v>13.630494964640837</c:v>
                </c:pt>
                <c:pt idx="16">
                  <c:v>13.562342489817635</c:v>
                </c:pt>
                <c:pt idx="17">
                  <c:v>13.494530777368546</c:v>
                </c:pt>
                <c:pt idx="18">
                  <c:v>13.427058123481702</c:v>
                </c:pt>
                <c:pt idx="19">
                  <c:v>13.359922832864292</c:v>
                </c:pt>
                <c:pt idx="20">
                  <c:v>13.293123218699971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95-432C-A09C-A5203B6566F6}"/>
            </c:ext>
          </c:extLst>
        </c:ser>
        <c:ser>
          <c:idx val="1"/>
          <c:order val="3"/>
          <c:tx>
            <c:v>Total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'2020'!$AB$18:$AB$38</c:f>
              <c:numCache>
                <c:formatCode>0.00</c:formatCode>
                <c:ptCount val="21"/>
                <c:pt idx="0">
                  <c:v>22.184498499999982</c:v>
                </c:pt>
                <c:pt idx="1">
                  <c:v>22.572756952500004</c:v>
                </c:pt>
                <c:pt idx="2">
                  <c:v>22.967203208012506</c:v>
                </c:pt>
                <c:pt idx="3">
                  <c:v>23.367765682046091</c:v>
                </c:pt>
                <c:pt idx="4">
                  <c:v>23.774373351259122</c:v>
                </c:pt>
                <c:pt idx="5">
                  <c:v>24.18695574963796</c:v>
                </c:pt>
                <c:pt idx="6">
                  <c:v>24.60544296469925</c:v>
                </c:pt>
                <c:pt idx="7">
                  <c:v>34.344765633716193</c:v>
                </c:pt>
                <c:pt idx="8">
                  <c:v>43.875609939968818</c:v>
                </c:pt>
                <c:pt idx="9">
                  <c:v>53.20283524401809</c:v>
                </c:pt>
                <c:pt idx="10">
                  <c:v>62.331188109398425</c:v>
                </c:pt>
                <c:pt idx="11">
                  <c:v>71.265304905657501</c:v>
                </c:pt>
                <c:pt idx="12">
                  <c:v>82.298155411660417</c:v>
                </c:pt>
                <c:pt idx="13">
                  <c:v>97.537749704693312</c:v>
                </c:pt>
                <c:pt idx="14">
                  <c:v>113.27147654260486</c:v>
                </c:pt>
                <c:pt idx="15">
                  <c:v>122.90691178912056</c:v>
                </c:pt>
                <c:pt idx="16">
                  <c:v>132.35497862893141</c:v>
                </c:pt>
                <c:pt idx="17">
                  <c:v>141.61981530237182</c:v>
                </c:pt>
                <c:pt idx="18">
                  <c:v>150.70546572641362</c:v>
                </c:pt>
                <c:pt idx="19">
                  <c:v>159.61588165982246</c:v>
                </c:pt>
                <c:pt idx="20">
                  <c:v>168.35492481853728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95-432C-A09C-A5203B65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18296"/>
        <c:axId val="1"/>
      </c:scatterChart>
      <c:valAx>
        <c:axId val="43321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/>
                  <a:t>Days Before / After Optimum</a:t>
                </a:r>
              </a:p>
            </c:rich>
          </c:tx>
          <c:layout>
            <c:manualLayout>
              <c:xMode val="edge"/>
              <c:yMode val="edge"/>
              <c:x val="0.29292205661792275"/>
              <c:y val="0.902999416739574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Costs, $ / ac</a:t>
                </a:r>
              </a:p>
            </c:rich>
          </c:tx>
          <c:layout>
            <c:manualLayout>
              <c:xMode val="edge"/>
              <c:yMode val="edge"/>
              <c:x val="1.9121672290963627E-2"/>
              <c:y val="0.34310586176727914"/>
            </c:manualLayout>
          </c:layout>
          <c:overlay val="0"/>
          <c:spPr>
            <a:noFill/>
            <a:ln w="25400">
              <a:noFill/>
            </a:ln>
          </c:spPr>
        </c:title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296"/>
        <c:crossesAt val="-10"/>
        <c:crossBetween val="midCat"/>
        <c:majorUnit val="25"/>
        <c:min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82077240344958"/>
          <c:y val="2.5660542432195951E-2"/>
          <c:w val="0.79437382827146608"/>
          <c:h val="0.11907786526684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Drying and Shrink Costs for Wheat</a:t>
            </a:r>
            <a:endParaRPr lang="en-US" sz="1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($ 5.00 /bu @ 13.5% base)</a:t>
            </a:r>
          </a:p>
        </c:rich>
      </c:tx>
      <c:layout>
        <c:manualLayout>
          <c:xMode val="edge"/>
          <c:yMode val="edge"/>
          <c:x val="0.19565220126445579"/>
          <c:y val="3.02325150532654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Total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'2020'!$B$18:$B$54</c:f>
              <c:numCache>
                <c:formatCode>0.0</c:formatCode>
                <c:ptCount val="37"/>
                <c:pt idx="0">
                  <c:v>12</c:v>
                </c:pt>
                <c:pt idx="1">
                  <c:v>12.5</c:v>
                </c:pt>
                <c:pt idx="2">
                  <c:v>13</c:v>
                </c:pt>
                <c:pt idx="3">
                  <c:v>13.5</c:v>
                </c:pt>
                <c:pt idx="4">
                  <c:v>14</c:v>
                </c:pt>
                <c:pt idx="5">
                  <c:v>14.5</c:v>
                </c:pt>
                <c:pt idx="6">
                  <c:v>15</c:v>
                </c:pt>
                <c:pt idx="7">
                  <c:v>15.5</c:v>
                </c:pt>
                <c:pt idx="8">
                  <c:v>16</c:v>
                </c:pt>
                <c:pt idx="9">
                  <c:v>16.5</c:v>
                </c:pt>
                <c:pt idx="10">
                  <c:v>17</c:v>
                </c:pt>
                <c:pt idx="11">
                  <c:v>17.5</c:v>
                </c:pt>
                <c:pt idx="12">
                  <c:v>18</c:v>
                </c:pt>
                <c:pt idx="13">
                  <c:v>18.5</c:v>
                </c:pt>
                <c:pt idx="14">
                  <c:v>19</c:v>
                </c:pt>
                <c:pt idx="15">
                  <c:v>19.5</c:v>
                </c:pt>
                <c:pt idx="16">
                  <c:v>20</c:v>
                </c:pt>
                <c:pt idx="17">
                  <c:v>20.5</c:v>
                </c:pt>
                <c:pt idx="18">
                  <c:v>21</c:v>
                </c:pt>
                <c:pt idx="19">
                  <c:v>21.5</c:v>
                </c:pt>
                <c:pt idx="20">
                  <c:v>22</c:v>
                </c:pt>
                <c:pt idx="21">
                  <c:v>22.5</c:v>
                </c:pt>
                <c:pt idx="22">
                  <c:v>23</c:v>
                </c:pt>
                <c:pt idx="23">
                  <c:v>23.5</c:v>
                </c:pt>
                <c:pt idx="24">
                  <c:v>24</c:v>
                </c:pt>
                <c:pt idx="25">
                  <c:v>24.5</c:v>
                </c:pt>
                <c:pt idx="26">
                  <c:v>25</c:v>
                </c:pt>
                <c:pt idx="27">
                  <c:v>25.5</c:v>
                </c:pt>
                <c:pt idx="28">
                  <c:v>26</c:v>
                </c:pt>
                <c:pt idx="29">
                  <c:v>26.5</c:v>
                </c:pt>
                <c:pt idx="30">
                  <c:v>27</c:v>
                </c:pt>
                <c:pt idx="31">
                  <c:v>27.5</c:v>
                </c:pt>
                <c:pt idx="32">
                  <c:v>28</c:v>
                </c:pt>
                <c:pt idx="33">
                  <c:v>28.5</c:v>
                </c:pt>
                <c:pt idx="34">
                  <c:v>29</c:v>
                </c:pt>
                <c:pt idx="35">
                  <c:v>29.5</c:v>
                </c:pt>
                <c:pt idx="36">
                  <c:v>30</c:v>
                </c:pt>
              </c:numCache>
            </c:numRef>
          </c:xVal>
          <c:yVal>
            <c:numRef>
              <c:f>'2020'!$G$18:$G$54</c:f>
              <c:numCache>
                <c:formatCode>#,##0.00_);\(#,##0.00\)</c:formatCode>
                <c:ptCount val="37"/>
                <c:pt idx="0">
                  <c:v>0.12920727272727284</c:v>
                </c:pt>
                <c:pt idx="1">
                  <c:v>9.1462857142857304E-2</c:v>
                </c:pt>
                <c:pt idx="2">
                  <c:v>5.3395632183908137E-2</c:v>
                </c:pt>
                <c:pt idx="3">
                  <c:v>1.4999999999999999E-2</c:v>
                </c:pt>
                <c:pt idx="4">
                  <c:v>5.3729767441860518E-2</c:v>
                </c:pt>
                <c:pt idx="5">
                  <c:v>9.2799532163742565E-2</c:v>
                </c:pt>
                <c:pt idx="6">
                  <c:v>0.13221529411764688</c:v>
                </c:pt>
                <c:pt idx="7">
                  <c:v>0.17198319526627204</c:v>
                </c:pt>
                <c:pt idx="8">
                  <c:v>0.21210952380952372</c:v>
                </c:pt>
                <c:pt idx="9">
                  <c:v>0.25260071856287414</c:v>
                </c:pt>
                <c:pt idx="10">
                  <c:v>0.29346337349397583</c:v>
                </c:pt>
                <c:pt idx="11">
                  <c:v>0.33470424242424235</c:v>
                </c:pt>
                <c:pt idx="12">
                  <c:v>0.37633024390243874</c:v>
                </c:pt>
                <c:pt idx="13">
                  <c:v>0.41834846625766853</c:v>
                </c:pt>
                <c:pt idx="14">
                  <c:v>0.46076617283950605</c:v>
                </c:pt>
                <c:pt idx="15">
                  <c:v>0.50359080745341611</c:v>
                </c:pt>
                <c:pt idx="16">
                  <c:v>0.54682999999999993</c:v>
                </c:pt>
                <c:pt idx="17">
                  <c:v>0.59049157232704375</c:v>
                </c:pt>
                <c:pt idx="18">
                  <c:v>0.63458354430379726</c:v>
                </c:pt>
                <c:pt idx="19">
                  <c:v>0.67911414012738835</c:v>
                </c:pt>
                <c:pt idx="20">
                  <c:v>0.72409179487179443</c:v>
                </c:pt>
                <c:pt idx="21">
                  <c:v>0.76952516129032245</c:v>
                </c:pt>
                <c:pt idx="22">
                  <c:v>0.81542311688311675</c:v>
                </c:pt>
                <c:pt idx="23">
                  <c:v>0.8617947712418299</c:v>
                </c:pt>
                <c:pt idx="24">
                  <c:v>0.90864947368421023</c:v>
                </c:pt>
                <c:pt idx="25">
                  <c:v>0.95599682119205254</c:v>
                </c:pt>
                <c:pt idx="26">
                  <c:v>1.0038466666666666</c:v>
                </c:pt>
                <c:pt idx="27">
                  <c:v>1.0522091275167784</c:v>
                </c:pt>
                <c:pt idx="28">
                  <c:v>1.1010945945945942</c:v>
                </c:pt>
                <c:pt idx="29">
                  <c:v>1.1505137414965985</c:v>
                </c:pt>
                <c:pt idx="30">
                  <c:v>1.2004775342465752</c:v>
                </c:pt>
                <c:pt idx="31">
                  <c:v>1.2509972413793107</c:v>
                </c:pt>
                <c:pt idx="32">
                  <c:v>1.3020844444444446</c:v>
                </c:pt>
                <c:pt idx="33">
                  <c:v>1.3537510489510487</c:v>
                </c:pt>
                <c:pt idx="34">
                  <c:v>1.4060092957746477</c:v>
                </c:pt>
                <c:pt idx="35">
                  <c:v>1.4588717730496448</c:v>
                </c:pt>
                <c:pt idx="36">
                  <c:v>1.5123514285714283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08-4638-901D-B13D5CE2C97C}"/>
            </c:ext>
          </c:extLst>
        </c:ser>
        <c:ser>
          <c:idx val="0"/>
          <c:order val="1"/>
          <c:tx>
            <c:v>Shrink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'2020'!$B$18:$B$54</c:f>
              <c:numCache>
                <c:formatCode>0.0</c:formatCode>
                <c:ptCount val="37"/>
                <c:pt idx="0">
                  <c:v>12</c:v>
                </c:pt>
                <c:pt idx="1">
                  <c:v>12.5</c:v>
                </c:pt>
                <c:pt idx="2">
                  <c:v>13</c:v>
                </c:pt>
                <c:pt idx="3">
                  <c:v>13.5</c:v>
                </c:pt>
                <c:pt idx="4">
                  <c:v>14</c:v>
                </c:pt>
                <c:pt idx="5">
                  <c:v>14.5</c:v>
                </c:pt>
                <c:pt idx="6">
                  <c:v>15</c:v>
                </c:pt>
                <c:pt idx="7">
                  <c:v>15.5</c:v>
                </c:pt>
                <c:pt idx="8">
                  <c:v>16</c:v>
                </c:pt>
                <c:pt idx="9">
                  <c:v>16.5</c:v>
                </c:pt>
                <c:pt idx="10">
                  <c:v>17</c:v>
                </c:pt>
                <c:pt idx="11">
                  <c:v>17.5</c:v>
                </c:pt>
                <c:pt idx="12">
                  <c:v>18</c:v>
                </c:pt>
                <c:pt idx="13">
                  <c:v>18.5</c:v>
                </c:pt>
                <c:pt idx="14">
                  <c:v>19</c:v>
                </c:pt>
                <c:pt idx="15">
                  <c:v>19.5</c:v>
                </c:pt>
                <c:pt idx="16">
                  <c:v>20</c:v>
                </c:pt>
                <c:pt idx="17">
                  <c:v>20.5</c:v>
                </c:pt>
                <c:pt idx="18">
                  <c:v>21</c:v>
                </c:pt>
                <c:pt idx="19">
                  <c:v>21.5</c:v>
                </c:pt>
                <c:pt idx="20">
                  <c:v>22</c:v>
                </c:pt>
                <c:pt idx="21">
                  <c:v>22.5</c:v>
                </c:pt>
                <c:pt idx="22">
                  <c:v>23</c:v>
                </c:pt>
                <c:pt idx="23">
                  <c:v>23.5</c:v>
                </c:pt>
                <c:pt idx="24">
                  <c:v>24</c:v>
                </c:pt>
                <c:pt idx="25">
                  <c:v>24.5</c:v>
                </c:pt>
                <c:pt idx="26">
                  <c:v>25</c:v>
                </c:pt>
                <c:pt idx="27">
                  <c:v>25.5</c:v>
                </c:pt>
                <c:pt idx="28">
                  <c:v>26</c:v>
                </c:pt>
                <c:pt idx="29">
                  <c:v>26.5</c:v>
                </c:pt>
                <c:pt idx="30">
                  <c:v>27</c:v>
                </c:pt>
                <c:pt idx="31">
                  <c:v>27.5</c:v>
                </c:pt>
                <c:pt idx="32">
                  <c:v>28</c:v>
                </c:pt>
                <c:pt idx="33">
                  <c:v>28.5</c:v>
                </c:pt>
                <c:pt idx="34">
                  <c:v>29</c:v>
                </c:pt>
                <c:pt idx="35">
                  <c:v>29.5</c:v>
                </c:pt>
                <c:pt idx="36">
                  <c:v>30</c:v>
                </c:pt>
              </c:numCache>
            </c:numRef>
          </c:xVal>
          <c:yVal>
            <c:numRef>
              <c:f>'2020'!$E$18:$E$54</c:f>
              <c:numCache>
                <c:formatCode>#,##0.00_);\(#,##0.00\)</c:formatCode>
                <c:ptCount val="37"/>
                <c:pt idx="0">
                  <c:v>8.522727272727286E-2</c:v>
                </c:pt>
                <c:pt idx="1">
                  <c:v>5.7142857142857308E-2</c:v>
                </c:pt>
                <c:pt idx="2">
                  <c:v>2.8735632183908139E-2</c:v>
                </c:pt>
                <c:pt idx="3">
                  <c:v>0</c:v>
                </c:pt>
                <c:pt idx="4">
                  <c:v>2.9069767441860517E-2</c:v>
                </c:pt>
                <c:pt idx="5">
                  <c:v>5.8479532163742576E-2</c:v>
                </c:pt>
                <c:pt idx="6">
                  <c:v>8.8235294117646898E-2</c:v>
                </c:pt>
                <c:pt idx="7">
                  <c:v>0.11834319526627206</c:v>
                </c:pt>
                <c:pt idx="8">
                  <c:v>0.14880952380952372</c:v>
                </c:pt>
                <c:pt idx="9">
                  <c:v>0.17964071856287411</c:v>
                </c:pt>
                <c:pt idx="10">
                  <c:v>0.21084337349397586</c:v>
                </c:pt>
                <c:pt idx="11">
                  <c:v>0.24242424242424235</c:v>
                </c:pt>
                <c:pt idx="12">
                  <c:v>0.27439024390243877</c:v>
                </c:pt>
                <c:pt idx="13">
                  <c:v>0.30674846625766855</c:v>
                </c:pt>
                <c:pt idx="14">
                  <c:v>0.33950617283950607</c:v>
                </c:pt>
                <c:pt idx="15">
                  <c:v>0.37267080745341613</c:v>
                </c:pt>
                <c:pt idx="16">
                  <c:v>0.40624999999999989</c:v>
                </c:pt>
                <c:pt idx="17">
                  <c:v>0.44025157232704376</c:v>
                </c:pt>
                <c:pt idx="18">
                  <c:v>0.47468354430379722</c:v>
                </c:pt>
                <c:pt idx="19">
                  <c:v>0.50955414012738842</c:v>
                </c:pt>
                <c:pt idx="20">
                  <c:v>0.54487179487179449</c:v>
                </c:pt>
                <c:pt idx="21">
                  <c:v>0.58064516129032251</c:v>
                </c:pt>
                <c:pt idx="22">
                  <c:v>0.6168831168831167</c:v>
                </c:pt>
                <c:pt idx="23">
                  <c:v>0.65359477124182985</c:v>
                </c:pt>
                <c:pt idx="24">
                  <c:v>0.69078947368421029</c:v>
                </c:pt>
                <c:pt idx="25">
                  <c:v>0.72847682119205259</c:v>
                </c:pt>
                <c:pt idx="26">
                  <c:v>0.76666666666666672</c:v>
                </c:pt>
                <c:pt idx="27">
                  <c:v>0.80536912751677858</c:v>
                </c:pt>
                <c:pt idx="28">
                  <c:v>0.84459459459459441</c:v>
                </c:pt>
                <c:pt idx="29">
                  <c:v>0.88435374149659862</c:v>
                </c:pt>
                <c:pt idx="30">
                  <c:v>0.92465753424657515</c:v>
                </c:pt>
                <c:pt idx="31">
                  <c:v>0.96551724137931061</c:v>
                </c:pt>
                <c:pt idx="32">
                  <c:v>1.0069444444444446</c:v>
                </c:pt>
                <c:pt idx="33">
                  <c:v>1.0489510489510487</c:v>
                </c:pt>
                <c:pt idx="34">
                  <c:v>1.0915492957746478</c:v>
                </c:pt>
                <c:pt idx="35">
                  <c:v>1.1347517730496448</c:v>
                </c:pt>
                <c:pt idx="36">
                  <c:v>1.1785714285714284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08-4638-901D-B13D5CE2C97C}"/>
            </c:ext>
          </c:extLst>
        </c:ser>
        <c:ser>
          <c:idx val="1"/>
          <c:order val="2"/>
          <c:tx>
            <c:v>D &amp; H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'2020'!$B$18:$B$54</c:f>
              <c:numCache>
                <c:formatCode>0.0</c:formatCode>
                <c:ptCount val="37"/>
                <c:pt idx="0">
                  <c:v>12</c:v>
                </c:pt>
                <c:pt idx="1">
                  <c:v>12.5</c:v>
                </c:pt>
                <c:pt idx="2">
                  <c:v>13</c:v>
                </c:pt>
                <c:pt idx="3">
                  <c:v>13.5</c:v>
                </c:pt>
                <c:pt idx="4">
                  <c:v>14</c:v>
                </c:pt>
                <c:pt idx="5">
                  <c:v>14.5</c:v>
                </c:pt>
                <c:pt idx="6">
                  <c:v>15</c:v>
                </c:pt>
                <c:pt idx="7">
                  <c:v>15.5</c:v>
                </c:pt>
                <c:pt idx="8">
                  <c:v>16</c:v>
                </c:pt>
                <c:pt idx="9">
                  <c:v>16.5</c:v>
                </c:pt>
                <c:pt idx="10">
                  <c:v>17</c:v>
                </c:pt>
                <c:pt idx="11">
                  <c:v>17.5</c:v>
                </c:pt>
                <c:pt idx="12">
                  <c:v>18</c:v>
                </c:pt>
                <c:pt idx="13">
                  <c:v>18.5</c:v>
                </c:pt>
                <c:pt idx="14">
                  <c:v>19</c:v>
                </c:pt>
                <c:pt idx="15">
                  <c:v>19.5</c:v>
                </c:pt>
                <c:pt idx="16">
                  <c:v>20</c:v>
                </c:pt>
                <c:pt idx="17">
                  <c:v>20.5</c:v>
                </c:pt>
                <c:pt idx="18">
                  <c:v>21</c:v>
                </c:pt>
                <c:pt idx="19">
                  <c:v>21.5</c:v>
                </c:pt>
                <c:pt idx="20">
                  <c:v>22</c:v>
                </c:pt>
                <c:pt idx="21">
                  <c:v>22.5</c:v>
                </c:pt>
                <c:pt idx="22">
                  <c:v>23</c:v>
                </c:pt>
                <c:pt idx="23">
                  <c:v>23.5</c:v>
                </c:pt>
                <c:pt idx="24">
                  <c:v>24</c:v>
                </c:pt>
                <c:pt idx="25">
                  <c:v>24.5</c:v>
                </c:pt>
                <c:pt idx="26">
                  <c:v>25</c:v>
                </c:pt>
                <c:pt idx="27">
                  <c:v>25.5</c:v>
                </c:pt>
                <c:pt idx="28">
                  <c:v>26</c:v>
                </c:pt>
                <c:pt idx="29">
                  <c:v>26.5</c:v>
                </c:pt>
                <c:pt idx="30">
                  <c:v>27</c:v>
                </c:pt>
                <c:pt idx="31">
                  <c:v>27.5</c:v>
                </c:pt>
                <c:pt idx="32">
                  <c:v>28</c:v>
                </c:pt>
                <c:pt idx="33">
                  <c:v>28.5</c:v>
                </c:pt>
                <c:pt idx="34">
                  <c:v>29</c:v>
                </c:pt>
                <c:pt idx="35">
                  <c:v>29.5</c:v>
                </c:pt>
                <c:pt idx="36">
                  <c:v>30</c:v>
                </c:pt>
              </c:numCache>
            </c:numRef>
          </c:xVal>
          <c:yVal>
            <c:numRef>
              <c:f>'2020'!$F$18:$F$54</c:f>
              <c:numCache>
                <c:formatCode>0.00</c:formatCode>
                <c:ptCount val="37"/>
                <c:pt idx="0">
                  <c:v>4.3979999999999991E-2</c:v>
                </c:pt>
                <c:pt idx="1">
                  <c:v>3.4319999999999996E-2</c:v>
                </c:pt>
                <c:pt idx="2">
                  <c:v>2.4659999999999998E-2</c:v>
                </c:pt>
                <c:pt idx="3">
                  <c:v>1.4999999999999999E-2</c:v>
                </c:pt>
                <c:pt idx="4">
                  <c:v>2.4659999999999998E-2</c:v>
                </c:pt>
                <c:pt idx="5">
                  <c:v>3.4319999999999996E-2</c:v>
                </c:pt>
                <c:pt idx="6">
                  <c:v>4.3979999999999991E-2</c:v>
                </c:pt>
                <c:pt idx="7">
                  <c:v>5.3639999999999993E-2</c:v>
                </c:pt>
                <c:pt idx="8">
                  <c:v>6.3299999999999995E-2</c:v>
                </c:pt>
                <c:pt idx="9">
                  <c:v>7.2959999999999997E-2</c:v>
                </c:pt>
                <c:pt idx="10">
                  <c:v>8.2619999999999985E-2</c:v>
                </c:pt>
                <c:pt idx="11">
                  <c:v>9.2279999999999987E-2</c:v>
                </c:pt>
                <c:pt idx="12">
                  <c:v>0.10193999999999999</c:v>
                </c:pt>
                <c:pt idx="13">
                  <c:v>0.11159999999999999</c:v>
                </c:pt>
                <c:pt idx="14">
                  <c:v>0.12125999999999998</c:v>
                </c:pt>
                <c:pt idx="15">
                  <c:v>0.13091999999999998</c:v>
                </c:pt>
                <c:pt idx="16">
                  <c:v>0.14057999999999998</c:v>
                </c:pt>
                <c:pt idx="17">
                  <c:v>0.15023999999999998</c:v>
                </c:pt>
                <c:pt idx="18">
                  <c:v>0.15989999999999999</c:v>
                </c:pt>
                <c:pt idx="19">
                  <c:v>0.16955999999999999</c:v>
                </c:pt>
                <c:pt idx="20">
                  <c:v>0.17921999999999999</c:v>
                </c:pt>
                <c:pt idx="21">
                  <c:v>0.18887999999999999</c:v>
                </c:pt>
                <c:pt idx="22">
                  <c:v>0.19853999999999999</c:v>
                </c:pt>
                <c:pt idx="23">
                  <c:v>0.2082</c:v>
                </c:pt>
                <c:pt idx="24">
                  <c:v>0.21785999999999994</c:v>
                </c:pt>
                <c:pt idx="25">
                  <c:v>0.22751999999999994</c:v>
                </c:pt>
                <c:pt idx="26">
                  <c:v>0.23717999999999995</c:v>
                </c:pt>
                <c:pt idx="27">
                  <c:v>0.24683999999999995</c:v>
                </c:pt>
                <c:pt idx="28">
                  <c:v>0.25649999999999995</c:v>
                </c:pt>
                <c:pt idx="29">
                  <c:v>0.26615999999999995</c:v>
                </c:pt>
                <c:pt idx="30">
                  <c:v>0.27581999999999995</c:v>
                </c:pt>
                <c:pt idx="31">
                  <c:v>0.28547999999999996</c:v>
                </c:pt>
                <c:pt idx="32">
                  <c:v>0.29513999999999996</c:v>
                </c:pt>
                <c:pt idx="33">
                  <c:v>0.30479999999999996</c:v>
                </c:pt>
                <c:pt idx="34">
                  <c:v>0.31445999999999996</c:v>
                </c:pt>
                <c:pt idx="35">
                  <c:v>0.32411999999999996</c:v>
                </c:pt>
                <c:pt idx="36">
                  <c:v>0.33377999999999997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08-4638-901D-B13D5CE2C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04848"/>
        <c:axId val="1"/>
      </c:scatterChart>
      <c:valAx>
        <c:axId val="433204848"/>
        <c:scaling>
          <c:orientation val="minMax"/>
          <c:max val="32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Moisture Content, % wb</a:t>
                </a:r>
              </a:p>
            </c:rich>
          </c:tx>
          <c:layout>
            <c:manualLayout>
              <c:xMode val="edge"/>
              <c:yMode val="edge"/>
              <c:x val="0.23549472094949514"/>
              <c:y val="0.88323191953946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4"/>
        <c:minorUnit val="2"/>
      </c:valAx>
      <c:valAx>
        <c:axId val="1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Cost, $/bu</a:t>
                </a:r>
              </a:p>
            </c:rich>
          </c:tx>
          <c:layout>
            <c:manualLayout>
              <c:xMode val="edge"/>
              <c:yMode val="edge"/>
              <c:x val="2.4844773897270831E-2"/>
              <c:y val="0.325581684642360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04848"/>
        <c:crosses val="autoZero"/>
        <c:crossBetween val="midCat"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53439508476885"/>
          <c:y val="0.31764732349632763"/>
          <c:w val="0.196547595332208"/>
          <c:h val="0.38487421425263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Cost of Overdried Wheat </a:t>
            </a: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(@ $5.00/bu and $1.20/gal for LP)</a:t>
            </a:r>
          </a:p>
        </c:rich>
      </c:tx>
      <c:layout>
        <c:manualLayout>
          <c:xMode val="edge"/>
          <c:yMode val="edge"/>
          <c:x val="0.18248300870285952"/>
          <c:y val="2.30872760869865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Shrink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'2020'!$B$15:$B$21</c:f>
              <c:numCache>
                <c:formatCode>0.0</c:formatCode>
                <c:ptCount val="7"/>
                <c:pt idx="0">
                  <c:v>10.5</c:v>
                </c:pt>
                <c:pt idx="1">
                  <c:v>11</c:v>
                </c:pt>
                <c:pt idx="2">
                  <c:v>11.5</c:v>
                </c:pt>
                <c:pt idx="3">
                  <c:v>12</c:v>
                </c:pt>
                <c:pt idx="4">
                  <c:v>12.5</c:v>
                </c:pt>
                <c:pt idx="5">
                  <c:v>13</c:v>
                </c:pt>
                <c:pt idx="6">
                  <c:v>13.5</c:v>
                </c:pt>
              </c:numCache>
            </c:numRef>
          </c:cat>
          <c:val>
            <c:numRef>
              <c:f>'2020'!$E$15:$E$21</c:f>
              <c:numCache>
                <c:formatCode>#,##0.00_);\(#,##0.00\)</c:formatCode>
                <c:ptCount val="7"/>
                <c:pt idx="0">
                  <c:v>0.16759776536312865</c:v>
                </c:pt>
                <c:pt idx="1">
                  <c:v>0.14044943820224734</c:v>
                </c:pt>
                <c:pt idx="2">
                  <c:v>0.11299435028248601</c:v>
                </c:pt>
                <c:pt idx="3">
                  <c:v>8.522727272727286E-2</c:v>
                </c:pt>
                <c:pt idx="4">
                  <c:v>5.7142857142857308E-2</c:v>
                </c:pt>
                <c:pt idx="5">
                  <c:v>2.8735632183908139E-2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7-4384-A81C-EA0000D5F0DD}"/>
            </c:ext>
          </c:extLst>
        </c:ser>
        <c:ser>
          <c:idx val="1"/>
          <c:order val="1"/>
          <c:tx>
            <c:v>D&amp;H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'2020'!$B$15:$B$21</c:f>
              <c:numCache>
                <c:formatCode>0.0</c:formatCode>
                <c:ptCount val="7"/>
                <c:pt idx="0">
                  <c:v>10.5</c:v>
                </c:pt>
                <c:pt idx="1">
                  <c:v>11</c:v>
                </c:pt>
                <c:pt idx="2">
                  <c:v>11.5</c:v>
                </c:pt>
                <c:pt idx="3">
                  <c:v>12</c:v>
                </c:pt>
                <c:pt idx="4">
                  <c:v>12.5</c:v>
                </c:pt>
                <c:pt idx="5">
                  <c:v>13</c:v>
                </c:pt>
                <c:pt idx="6">
                  <c:v>13.5</c:v>
                </c:pt>
              </c:numCache>
            </c:numRef>
          </c:cat>
          <c:val>
            <c:numRef>
              <c:f>'2020'!$F$15:$F$21</c:f>
              <c:numCache>
                <c:formatCode>0.00</c:formatCode>
                <c:ptCount val="7"/>
                <c:pt idx="0">
                  <c:v>7.2959999999999997E-2</c:v>
                </c:pt>
                <c:pt idx="1">
                  <c:v>6.3299999999999995E-2</c:v>
                </c:pt>
                <c:pt idx="2">
                  <c:v>5.3639999999999993E-2</c:v>
                </c:pt>
                <c:pt idx="3">
                  <c:v>4.3979999999999991E-2</c:v>
                </c:pt>
                <c:pt idx="4">
                  <c:v>3.4319999999999996E-2</c:v>
                </c:pt>
                <c:pt idx="5">
                  <c:v>2.4659999999999998E-2</c:v>
                </c:pt>
                <c:pt idx="6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7-4384-A81C-EA0000D5F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213704"/>
        <c:axId val="1"/>
      </c:barChart>
      <c:catAx>
        <c:axId val="433213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Wheat Moisture, %wb</a:t>
                </a:r>
              </a:p>
            </c:rich>
          </c:tx>
          <c:layout>
            <c:manualLayout>
              <c:xMode val="edge"/>
              <c:yMode val="edge"/>
              <c:x val="0.3173669705760464"/>
              <c:y val="0.909588096584249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Cost, c/bu</a:t>
                </a:r>
              </a:p>
            </c:rich>
          </c:tx>
          <c:layout>
            <c:manualLayout>
              <c:xMode val="edge"/>
              <c:yMode val="edge"/>
              <c:x val="2.6402818068794034E-2"/>
              <c:y val="0.44501316932581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3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9183588893494"/>
          <c:y val="0.51838989478329212"/>
          <c:w val="0.13986033982594281"/>
          <c:h val="0.1103330253595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5339377904371"/>
          <c:y val="5.1334702258726987E-2"/>
          <c:w val="0.69303441967821056"/>
          <c:h val="0.63684725194886815"/>
        </c:manualLayout>
      </c:layout>
      <c:scatterChart>
        <c:scatterStyle val="smoothMarker"/>
        <c:varyColors val="0"/>
        <c:ser>
          <c:idx val="3"/>
          <c:order val="0"/>
          <c:tx>
            <c:v>Sbn Yld Loss</c:v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'2020'!$AA$18:$AA$38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9.3150000000000546</c:v>
                </c:pt>
                <c:pt idx="8">
                  <c:v>18.415755000000047</c:v>
                </c:pt>
                <c:pt idx="9">
                  <c:v>27.307192635000035</c:v>
                </c:pt>
                <c:pt idx="10">
                  <c:v>35.994127204395056</c:v>
                </c:pt>
                <c:pt idx="11">
                  <c:v>44.481262278693976</c:v>
                </c:pt>
                <c:pt idx="12">
                  <c:v>52.773193246283995</c:v>
                </c:pt>
                <c:pt idx="13">
                  <c:v>60.874409801619493</c:v>
                </c:pt>
                <c:pt idx="14">
                  <c:v>68.789298376182273</c:v>
                </c:pt>
                <c:pt idx="15">
                  <c:v>76.522144513530066</c:v>
                </c:pt>
                <c:pt idx="16">
                  <c:v>84.077135189718888</c:v>
                </c:pt>
                <c:pt idx="17">
                  <c:v>91.45836108035536</c:v>
                </c:pt>
                <c:pt idx="18">
                  <c:v>98.669818775507224</c:v>
                </c:pt>
                <c:pt idx="19">
                  <c:v>105.71541294367057</c:v>
                </c:pt>
                <c:pt idx="20">
                  <c:v>112.59895844596616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D9-4FD7-89E4-FF3A53C08961}"/>
            </c:ext>
          </c:extLst>
        </c:ser>
        <c:ser>
          <c:idx val="2"/>
          <c:order val="1"/>
          <c:tx>
            <c:v>Wht Yld Loss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'2020'!$T$18:$T$38</c:f>
              <c:numCache>
                <c:formatCode>_("$"* #,##0.00_);_("$"* \(#,##0.00\);_("$"* "-"??_);_(@_)</c:formatCode>
                <c:ptCount val="21"/>
                <c:pt idx="0">
                  <c:v>2.1249999999999858</c:v>
                </c:pt>
                <c:pt idx="1">
                  <c:v>4.2393750000000097</c:v>
                </c:pt>
                <c:pt idx="2">
                  <c:v>6.3431781250000085</c:v>
                </c:pt>
                <c:pt idx="3">
                  <c:v>8.4364622343750284</c:v>
                </c:pt>
                <c:pt idx="4">
                  <c:v>10.519279923203158</c:v>
                </c:pt>
                <c:pt idx="5">
                  <c:v>12.591683523587136</c:v>
                </c:pt>
                <c:pt idx="6">
                  <c:v>14.653725105969215</c:v>
                </c:pt>
                <c:pt idx="7">
                  <c:v>16.705456480439338</c:v>
                </c:pt>
                <c:pt idx="8">
                  <c:v>18.746929198037137</c:v>
                </c:pt>
                <c:pt idx="9">
                  <c:v>20.778194552046969</c:v>
                </c:pt>
                <c:pt idx="10">
                  <c:v>22.799303579286772</c:v>
                </c:pt>
                <c:pt idx="11">
                  <c:v>24.810307061390304</c:v>
                </c:pt>
                <c:pt idx="12">
                  <c:v>26.811255526083357</c:v>
                </c:pt>
                <c:pt idx="13">
                  <c:v>28.802199248452922</c:v>
                </c:pt>
                <c:pt idx="14">
                  <c:v>30.783188252210678</c:v>
                </c:pt>
                <c:pt idx="15">
                  <c:v>32.754272310949659</c:v>
                </c:pt>
                <c:pt idx="16">
                  <c:v>34.71550094939488</c:v>
                </c:pt>
                <c:pt idx="17">
                  <c:v>36.666923444647921</c:v>
                </c:pt>
                <c:pt idx="18">
                  <c:v>38.608588827424697</c:v>
                </c:pt>
                <c:pt idx="19">
                  <c:v>40.540545883287606</c:v>
                </c:pt>
                <c:pt idx="20">
                  <c:v>42.462843153871148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D9-4FD7-89E4-FF3A53C08961}"/>
            </c:ext>
          </c:extLst>
        </c:ser>
        <c:ser>
          <c:idx val="0"/>
          <c:order val="2"/>
          <c:tx>
            <c:v>Wheat D&amp;H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'2020'!$S$18:$S$38</c:f>
              <c:numCache>
                <c:formatCode>_("$"* #,##0.00_);_("$"* \(#,##0.00\);_("$"* "-"??_);_(@_)</c:formatCode>
                <c:ptCount val="21"/>
                <c:pt idx="0">
                  <c:v>20.059498499999997</c:v>
                </c:pt>
                <c:pt idx="1">
                  <c:v>18.333381952499995</c:v>
                </c:pt>
                <c:pt idx="2">
                  <c:v>16.624025083012498</c:v>
                </c:pt>
                <c:pt idx="3">
                  <c:v>14.931303447671061</c:v>
                </c:pt>
                <c:pt idx="4">
                  <c:v>13.255093428055963</c:v>
                </c:pt>
                <c:pt idx="5">
                  <c:v>11.595272226050822</c:v>
                </c:pt>
                <c:pt idx="6">
                  <c:v>9.9517178587300332</c:v>
                </c:pt>
                <c:pt idx="7">
                  <c:v>8.3243091532768023</c:v>
                </c:pt>
                <c:pt idx="8">
                  <c:v>6.7129257419316328</c:v>
                </c:pt>
                <c:pt idx="9">
                  <c:v>5.1174480569710852</c:v>
                </c:pt>
                <c:pt idx="10">
                  <c:v>3.5377573257165928</c:v>
                </c:pt>
                <c:pt idx="11">
                  <c:v>1.9737355655732229</c:v>
                </c:pt>
                <c:pt idx="12">
                  <c:v>2.7137066392930738</c:v>
                </c:pt>
                <c:pt idx="13">
                  <c:v>7.861140654620888</c:v>
                </c:pt>
                <c:pt idx="14">
                  <c:v>13.698989914211898</c:v>
                </c:pt>
                <c:pt idx="15">
                  <c:v>13.630494964640837</c:v>
                </c:pt>
                <c:pt idx="16">
                  <c:v>13.562342489817635</c:v>
                </c:pt>
                <c:pt idx="17">
                  <c:v>13.494530777368546</c:v>
                </c:pt>
                <c:pt idx="18">
                  <c:v>13.427058123481702</c:v>
                </c:pt>
                <c:pt idx="19">
                  <c:v>13.359922832864292</c:v>
                </c:pt>
                <c:pt idx="20">
                  <c:v>13.293123218699971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D9-4FD7-89E4-FF3A53C08961}"/>
            </c:ext>
          </c:extLst>
        </c:ser>
        <c:ser>
          <c:idx val="1"/>
          <c:order val="3"/>
          <c:tx>
            <c:v>Total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'2020'!$AB$18:$AB$38</c:f>
              <c:numCache>
                <c:formatCode>0.00</c:formatCode>
                <c:ptCount val="21"/>
                <c:pt idx="0">
                  <c:v>22.184498499999982</c:v>
                </c:pt>
                <c:pt idx="1">
                  <c:v>22.572756952500004</c:v>
                </c:pt>
                <c:pt idx="2">
                  <c:v>22.967203208012506</c:v>
                </c:pt>
                <c:pt idx="3">
                  <c:v>23.367765682046091</c:v>
                </c:pt>
                <c:pt idx="4">
                  <c:v>23.774373351259122</c:v>
                </c:pt>
                <c:pt idx="5">
                  <c:v>24.18695574963796</c:v>
                </c:pt>
                <c:pt idx="6">
                  <c:v>24.60544296469925</c:v>
                </c:pt>
                <c:pt idx="7">
                  <c:v>34.344765633716193</c:v>
                </c:pt>
                <c:pt idx="8">
                  <c:v>43.875609939968818</c:v>
                </c:pt>
                <c:pt idx="9">
                  <c:v>53.20283524401809</c:v>
                </c:pt>
                <c:pt idx="10">
                  <c:v>62.331188109398425</c:v>
                </c:pt>
                <c:pt idx="11">
                  <c:v>71.265304905657501</c:v>
                </c:pt>
                <c:pt idx="12">
                  <c:v>82.298155411660417</c:v>
                </c:pt>
                <c:pt idx="13">
                  <c:v>97.537749704693312</c:v>
                </c:pt>
                <c:pt idx="14">
                  <c:v>113.27147654260486</c:v>
                </c:pt>
                <c:pt idx="15">
                  <c:v>122.90691178912056</c:v>
                </c:pt>
                <c:pt idx="16">
                  <c:v>132.35497862893141</c:v>
                </c:pt>
                <c:pt idx="17">
                  <c:v>141.61981530237182</c:v>
                </c:pt>
                <c:pt idx="18">
                  <c:v>150.70546572641362</c:v>
                </c:pt>
                <c:pt idx="19">
                  <c:v>159.61588165982246</c:v>
                </c:pt>
                <c:pt idx="20">
                  <c:v>168.35492481853728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D9-4FD7-89E4-FF3A53C0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18296"/>
        <c:axId val="1"/>
      </c:scatterChart>
      <c:valAx>
        <c:axId val="43321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/>
                  <a:t>Days Before / After Optimum</a:t>
                </a:r>
              </a:p>
            </c:rich>
          </c:tx>
          <c:layout>
            <c:manualLayout>
              <c:xMode val="edge"/>
              <c:yMode val="edge"/>
              <c:x val="0.35542199270545727"/>
              <c:y val="0.769666033125169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/>
                  <a:t>Costs, $ / ac</a:t>
                </a:r>
              </a:p>
            </c:rich>
          </c:tx>
          <c:layout>
            <c:manualLayout>
              <c:xMode val="edge"/>
              <c:yMode val="edge"/>
              <c:x val="5.1859767529058867E-2"/>
              <c:y val="0.25051339487736446"/>
            </c:manualLayout>
          </c:layout>
          <c:overlay val="0"/>
          <c:spPr>
            <a:noFill/>
            <a:ln w="25400">
              <a:noFill/>
            </a:ln>
          </c:spPr>
        </c:title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296"/>
        <c:crossesAt val="-10"/>
        <c:crossBetween val="midCat"/>
        <c:majorUnit val="25"/>
        <c:min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74925861540033"/>
          <c:y val="0.85899380034392259"/>
          <c:w val="0.79437382827146608"/>
          <c:h val="5.61150330346638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5339377904371"/>
          <c:y val="5.1334702258726987E-2"/>
          <c:w val="0.69303441967821056"/>
          <c:h val="0.63684725194886815"/>
        </c:manualLayout>
      </c:layout>
      <c:scatterChart>
        <c:scatterStyle val="smoothMarker"/>
        <c:varyColors val="0"/>
        <c:ser>
          <c:idx val="3"/>
          <c:order val="0"/>
          <c:tx>
            <c:v>Sbn Gross</c:v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'2020'!$N$18:$N$38</c:f>
              <c:numCache>
                <c:formatCode>_("$"* #,##0_);_("$"* \(#,##0\);_("$"* "-"??_);_(@_)</c:formatCode>
                <c:ptCount val="21"/>
                <c:pt idx="0">
                  <c:v>405</c:v>
                </c:pt>
                <c:pt idx="1">
                  <c:v>405</c:v>
                </c:pt>
                <c:pt idx="2">
                  <c:v>405</c:v>
                </c:pt>
                <c:pt idx="3">
                  <c:v>405</c:v>
                </c:pt>
                <c:pt idx="4">
                  <c:v>405</c:v>
                </c:pt>
                <c:pt idx="5">
                  <c:v>405</c:v>
                </c:pt>
                <c:pt idx="6">
                  <c:v>405</c:v>
                </c:pt>
                <c:pt idx="7">
                  <c:v>395.68499999999995</c:v>
                </c:pt>
                <c:pt idx="8">
                  <c:v>386.58424499999995</c:v>
                </c:pt>
                <c:pt idx="9">
                  <c:v>377.69280736499996</c:v>
                </c:pt>
                <c:pt idx="10">
                  <c:v>369.00587279560494</c:v>
                </c:pt>
                <c:pt idx="11">
                  <c:v>360.51873772130602</c:v>
                </c:pt>
                <c:pt idx="12">
                  <c:v>352.22680675371601</c:v>
                </c:pt>
                <c:pt idx="13">
                  <c:v>344.12559019838051</c:v>
                </c:pt>
                <c:pt idx="14">
                  <c:v>336.21070162381773</c:v>
                </c:pt>
                <c:pt idx="15">
                  <c:v>328.47785548646993</c:v>
                </c:pt>
                <c:pt idx="16">
                  <c:v>320.92286481028111</c:v>
                </c:pt>
                <c:pt idx="17">
                  <c:v>313.54163891964464</c:v>
                </c:pt>
                <c:pt idx="18">
                  <c:v>306.33018122449278</c:v>
                </c:pt>
                <c:pt idx="19">
                  <c:v>299.28458705632943</c:v>
                </c:pt>
                <c:pt idx="20">
                  <c:v>292.40104155403384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C4-4875-B811-9D833645F88D}"/>
            </c:ext>
          </c:extLst>
        </c:ser>
        <c:ser>
          <c:idx val="2"/>
          <c:order val="1"/>
          <c:tx>
            <c:v>Wht Net</c:v>
          </c:tx>
          <c:spPr>
            <a:ln w="3175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'2020'!$W$18:$W$38</c:f>
              <c:numCache>
                <c:formatCode>_("$"* #,##0_);_("$"* \(#,##0\);_("$"* "-"??_);_(@_)</c:formatCode>
                <c:ptCount val="21"/>
                <c:pt idx="0">
                  <c:v>400.69050150000004</c:v>
                </c:pt>
                <c:pt idx="1">
                  <c:v>398.18786804749999</c:v>
                </c:pt>
                <c:pt idx="2">
                  <c:v>395.68961866698749</c:v>
                </c:pt>
                <c:pt idx="3">
                  <c:v>393.1957720835789</c:v>
                </c:pt>
                <c:pt idx="4">
                  <c:v>390.70634672553774</c:v>
                </c:pt>
                <c:pt idx="5">
                  <c:v>388.22136072677495</c:v>
                </c:pt>
                <c:pt idx="6">
                  <c:v>385.74083192933153</c:v>
                </c:pt>
                <c:pt idx="7">
                  <c:v>383.26477788584452</c:v>
                </c:pt>
                <c:pt idx="8">
                  <c:v>380.7932158619941</c:v>
                </c:pt>
                <c:pt idx="9">
                  <c:v>378.32616283893498</c:v>
                </c:pt>
                <c:pt idx="10">
                  <c:v>375.86363551570992</c:v>
                </c:pt>
                <c:pt idx="11">
                  <c:v>373.40565031164618</c:v>
                </c:pt>
                <c:pt idx="12">
                  <c:v>368.66378230854019</c:v>
                </c:pt>
                <c:pt idx="13">
                  <c:v>359.53446084847332</c:v>
                </c:pt>
                <c:pt idx="14">
                  <c:v>349.73463358136678</c:v>
                </c:pt>
                <c:pt idx="15">
                  <c:v>345.86096041345985</c:v>
                </c:pt>
                <c:pt idx="16">
                  <c:v>342.0066556113926</c:v>
                </c:pt>
                <c:pt idx="17">
                  <c:v>338.17162233333562</c:v>
                </c:pt>
                <c:pt idx="18">
                  <c:v>334.35576422166889</c:v>
                </c:pt>
                <c:pt idx="19">
                  <c:v>330.55898540056046</c:v>
                </c:pt>
                <c:pt idx="20">
                  <c:v>326.78119047355767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C4-4875-B811-9D833645F88D}"/>
            </c:ext>
          </c:extLst>
        </c:ser>
        <c:ser>
          <c:idx val="1"/>
          <c:order val="2"/>
          <c:tx>
            <c:v>Total</c:v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'2020'!$K$18:$K$38</c:f>
              <c:numCache>
                <c:formatCode>General</c:formatCode>
                <c:ptCount val="2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</c:numCache>
            </c:numRef>
          </c:xVal>
          <c:yVal>
            <c:numRef>
              <c:f>'2020'!$X$18:$X$38</c:f>
              <c:numCache>
                <c:formatCode>_("$"* #,##0_);_("$"* \(#,##0\);_("$"* "-"??_);_(@_)</c:formatCode>
                <c:ptCount val="21"/>
                <c:pt idx="0">
                  <c:v>215.69050149999998</c:v>
                </c:pt>
                <c:pt idx="1">
                  <c:v>213.18786804749993</c:v>
                </c:pt>
                <c:pt idx="2">
                  <c:v>210.68961866698749</c:v>
                </c:pt>
                <c:pt idx="3">
                  <c:v>208.19577208357896</c:v>
                </c:pt>
                <c:pt idx="4">
                  <c:v>205.70634672553774</c:v>
                </c:pt>
                <c:pt idx="5">
                  <c:v>203.22136072677495</c:v>
                </c:pt>
                <c:pt idx="6">
                  <c:v>200.74083192933153</c:v>
                </c:pt>
                <c:pt idx="7">
                  <c:v>188.94977788584447</c:v>
                </c:pt>
                <c:pt idx="8">
                  <c:v>177.377460861994</c:v>
                </c:pt>
                <c:pt idx="9">
                  <c:v>166.01897020393494</c:v>
                </c:pt>
                <c:pt idx="10">
                  <c:v>154.8695083113148</c:v>
                </c:pt>
                <c:pt idx="11">
                  <c:v>143.92438803295227</c:v>
                </c:pt>
                <c:pt idx="12">
                  <c:v>130.89058906225614</c:v>
                </c:pt>
                <c:pt idx="13">
                  <c:v>113.66005104685382</c:v>
                </c:pt>
                <c:pt idx="14">
                  <c:v>95.945335205184506</c:v>
                </c:pt>
                <c:pt idx="15">
                  <c:v>84.338815899929841</c:v>
                </c:pt>
                <c:pt idx="16">
                  <c:v>72.929520421673715</c:v>
                </c:pt>
                <c:pt idx="17">
                  <c:v>61.71326125298026</c:v>
                </c:pt>
                <c:pt idx="18">
                  <c:v>50.685945446161668</c:v>
                </c:pt>
                <c:pt idx="19">
                  <c:v>39.843572456889888</c:v>
                </c:pt>
                <c:pt idx="20">
                  <c:v>29.182232027591454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C4-4875-B811-9D833645F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16984"/>
        <c:axId val="1"/>
      </c:scatterChart>
      <c:valAx>
        <c:axId val="4332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/>
                  <a:t>Days Before / After Optimum</a:t>
                </a:r>
              </a:p>
            </c:rich>
          </c:tx>
          <c:layout>
            <c:manualLayout>
              <c:xMode val="edge"/>
              <c:yMode val="edge"/>
              <c:x val="0.35542191739774603"/>
              <c:y val="0.76966610186384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/>
                  <a:t>Returns, $ / ac</a:t>
                </a:r>
              </a:p>
            </c:rich>
          </c:tx>
          <c:layout>
            <c:manualLayout>
              <c:xMode val="edge"/>
              <c:yMode val="edge"/>
              <c:x val="5.1859799237568879E-2"/>
              <c:y val="0.2505133060899033"/>
            </c:manualLayout>
          </c:layout>
          <c:overlay val="0"/>
          <c:spPr>
            <a:noFill/>
            <a:ln w="25400">
              <a:noFill/>
            </a:ln>
          </c:spPr>
        </c:title>
        <c:numFmt formatCode="_(\$* #,##0_);_(\$* \(#,##0\);_(\$* &quot;-&quot;_);_(@_)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6984"/>
        <c:crossesAt val="-10"/>
        <c:crossBetween val="midCat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74932995954786"/>
          <c:y val="0.85899376501987879"/>
          <c:w val="0.79437382430790227"/>
          <c:h val="5.61150425817026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Storage Risk Levels for SRW Wheat
 at Various T &amp; RH Conditions</a:t>
            </a:r>
          </a:p>
        </c:rich>
      </c:tx>
      <c:layout>
        <c:manualLayout>
          <c:xMode val="edge"/>
          <c:yMode val="edge"/>
          <c:x val="0.2359934368339858"/>
          <c:y val="3.2178212571913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257478626279"/>
          <c:y val="0.26732673267326773"/>
          <c:w val="0.6485574137154928"/>
          <c:h val="0.53465346534653468"/>
        </c:manualLayout>
      </c:layout>
      <c:scatterChart>
        <c:scatterStyle val="smoothMarker"/>
        <c:varyColors val="0"/>
        <c:ser>
          <c:idx val="0"/>
          <c:order val="0"/>
          <c:tx>
            <c:v>Hi Risk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EMC!$C$31:$C$37</c:f>
              <c:numCache>
                <c:formatCode>General</c:formatCode>
                <c:ptCount val="7"/>
                <c:pt idx="0">
                  <c:v>35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EMC!$J$31:$J$37</c:f>
              <c:numCache>
                <c:formatCode>0.0</c:formatCode>
                <c:ptCount val="7"/>
                <c:pt idx="0">
                  <c:v>15.3</c:v>
                </c:pt>
                <c:pt idx="1">
                  <c:v>15.1</c:v>
                </c:pt>
                <c:pt idx="2">
                  <c:v>14.7</c:v>
                </c:pt>
                <c:pt idx="3">
                  <c:v>14.437286915692434</c:v>
                </c:pt>
                <c:pt idx="4">
                  <c:v>14.112623273065855</c:v>
                </c:pt>
                <c:pt idx="5">
                  <c:v>13.815024519558818</c:v>
                </c:pt>
                <c:pt idx="6">
                  <c:v>13.540442721918829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D6-43E2-8F8C-BC0E636456F6}"/>
            </c:ext>
          </c:extLst>
        </c:ser>
        <c:ser>
          <c:idx val="1"/>
          <c:order val="1"/>
          <c:tx>
            <c:v>Risky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EMC!$C$31:$C$37</c:f>
              <c:numCache>
                <c:formatCode>General</c:formatCode>
                <c:ptCount val="7"/>
                <c:pt idx="0">
                  <c:v>35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EMC!$I$31:$I$37</c:f>
              <c:numCache>
                <c:formatCode>0.0</c:formatCode>
                <c:ptCount val="7"/>
                <c:pt idx="0">
                  <c:v>14.656145863345811</c:v>
                </c:pt>
                <c:pt idx="1">
                  <c:v>14.444074896309974</c:v>
                </c:pt>
                <c:pt idx="2">
                  <c:v>14.053886140811915</c:v>
                </c:pt>
                <c:pt idx="3">
                  <c:v>13.702478113572298</c:v>
                </c:pt>
                <c:pt idx="4">
                  <c:v>13.382954770575523</c:v>
                </c:pt>
                <c:pt idx="5">
                  <c:v>13.090129906545521</c:v>
                </c:pt>
                <c:pt idx="6">
                  <c:v>12.819996229214052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D6-43E2-8F8C-BC0E636456F6}"/>
            </c:ext>
          </c:extLst>
        </c:ser>
        <c:ser>
          <c:idx val="2"/>
          <c:order val="2"/>
          <c:tx>
            <c:v>Safe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EMC!$C$31:$C$37</c:f>
              <c:numCache>
                <c:formatCode>General</c:formatCode>
                <c:ptCount val="7"/>
                <c:pt idx="0">
                  <c:v>35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EMC!$H$31:$H$37</c:f>
              <c:numCache>
                <c:formatCode>0.0</c:formatCode>
                <c:ptCount val="7"/>
                <c:pt idx="0">
                  <c:v>14.029624299881551</c:v>
                </c:pt>
                <c:pt idx="1">
                  <c:v>13.819797234949862</c:v>
                </c:pt>
                <c:pt idx="2">
                  <c:v>13.433870202851292</c:v>
                </c:pt>
                <c:pt idx="3">
                  <c:v>13.086429555247458</c:v>
                </c:pt>
                <c:pt idx="4">
                  <c:v>12.770603695287619</c:v>
                </c:pt>
                <c:pt idx="5">
                  <c:v>12.481230877710416</c:v>
                </c:pt>
                <c:pt idx="6">
                  <c:v>12.214326744018745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D6-43E2-8F8C-BC0E636456F6}"/>
            </c:ext>
          </c:extLst>
        </c:ser>
        <c:ser>
          <c:idx val="3"/>
          <c:order val="3"/>
          <c:tx>
            <c:v>Safer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EMC!$C$31:$C$37</c:f>
              <c:numCache>
                <c:formatCode>General</c:formatCode>
                <c:ptCount val="7"/>
                <c:pt idx="0">
                  <c:v>35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EMC!$G$31:$G$37</c:f>
              <c:numCache>
                <c:formatCode>0.0</c:formatCode>
                <c:ptCount val="7"/>
                <c:pt idx="0">
                  <c:v>13.442946528290374</c:v>
                </c:pt>
                <c:pt idx="1">
                  <c:v>13.235382822822315</c:v>
                </c:pt>
                <c:pt idx="2">
                  <c:v>12.853743782269177</c:v>
                </c:pt>
                <c:pt idx="3">
                  <c:v>12.510284190505089</c:v>
                </c:pt>
                <c:pt idx="4">
                  <c:v>12.198160581419859</c:v>
                </c:pt>
                <c:pt idx="5">
                  <c:v>11.912238183450068</c:v>
                </c:pt>
                <c:pt idx="6">
                  <c:v>11.648557334513709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D6-43E2-8F8C-BC0E6364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10752"/>
        <c:axId val="1"/>
      </c:scatterChart>
      <c:valAx>
        <c:axId val="433210752"/>
        <c:scaling>
          <c:orientation val="minMax"/>
          <c:max val="10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F</a:t>
                </a:r>
              </a:p>
            </c:rich>
          </c:tx>
          <c:layout>
            <c:manualLayout>
              <c:xMode val="edge"/>
              <c:yMode val="edge"/>
              <c:x val="0.35653685984608663"/>
              <c:y val="0.89108910628595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17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Wheat EMC, %wb</a:t>
                </a:r>
              </a:p>
            </c:rich>
          </c:tx>
          <c:layout>
            <c:manualLayout>
              <c:xMode val="edge"/>
              <c:yMode val="edge"/>
              <c:x val="2.7164730116549702E-2"/>
              <c:y val="0.36138603886635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0752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86010468963189"/>
          <c:y val="0.432660197778308"/>
          <c:w val="0.15855039637599089"/>
          <c:h val="0.24410774410774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16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41</xdr:row>
      <xdr:rowOff>82550</xdr:rowOff>
    </xdr:from>
    <xdr:to>
      <xdr:col>10</xdr:col>
      <xdr:colOff>190500</xdr:colOff>
      <xdr:row>63</xdr:row>
      <xdr:rowOff>44450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495AB21D-61A8-4993-9229-8C56ED520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55</xdr:row>
      <xdr:rowOff>0</xdr:rowOff>
    </xdr:from>
    <xdr:to>
      <xdr:col>8</xdr:col>
      <xdr:colOff>355600</xdr:colOff>
      <xdr:row>78</xdr:row>
      <xdr:rowOff>101600</xdr:rowOff>
    </xdr:to>
    <xdr:graphicFrame macro="">
      <xdr:nvGraphicFramePr>
        <xdr:cNvPr id="1094" name="Chart 1">
          <a:extLst>
            <a:ext uri="{FF2B5EF4-FFF2-40B4-BE49-F238E27FC236}">
              <a16:creationId xmlns:a16="http://schemas.microsoft.com/office/drawing/2014/main" id="{0F1E4E35-BE26-4AD3-9B00-49049FB1D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31750</xdr:colOff>
      <xdr:row>59</xdr:row>
      <xdr:rowOff>38100</xdr:rowOff>
    </xdr:from>
    <xdr:to>
      <xdr:col>18</xdr:col>
      <xdr:colOff>596900</xdr:colOff>
      <xdr:row>81</xdr:row>
      <xdr:rowOff>152400</xdr:rowOff>
    </xdr:to>
    <xdr:graphicFrame macro="">
      <xdr:nvGraphicFramePr>
        <xdr:cNvPr id="1095" name="Chart 53">
          <a:extLst>
            <a:ext uri="{FF2B5EF4-FFF2-40B4-BE49-F238E27FC236}">
              <a16:creationId xmlns:a16="http://schemas.microsoft.com/office/drawing/2014/main" id="{173C12D7-270E-4211-8B3F-5F28B17A7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88900</xdr:colOff>
      <xdr:row>0</xdr:row>
      <xdr:rowOff>63500</xdr:rowOff>
    </xdr:from>
    <xdr:to>
      <xdr:col>38</xdr:col>
      <xdr:colOff>469900</xdr:colOff>
      <xdr:row>29</xdr:row>
      <xdr:rowOff>25400</xdr:rowOff>
    </xdr:to>
    <xdr:graphicFrame macro="">
      <xdr:nvGraphicFramePr>
        <xdr:cNvPr id="1096" name="Chart 8">
          <a:extLst>
            <a:ext uri="{FF2B5EF4-FFF2-40B4-BE49-F238E27FC236}">
              <a16:creationId xmlns:a16="http://schemas.microsoft.com/office/drawing/2014/main" id="{82CE9906-F09F-4CD3-8015-1F07D91C9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12700</xdr:colOff>
      <xdr:row>30</xdr:row>
      <xdr:rowOff>38100</xdr:rowOff>
    </xdr:from>
    <xdr:to>
      <xdr:col>38</xdr:col>
      <xdr:colOff>533400</xdr:colOff>
      <xdr:row>58</xdr:row>
      <xdr:rowOff>95250</xdr:rowOff>
    </xdr:to>
    <xdr:graphicFrame macro="">
      <xdr:nvGraphicFramePr>
        <xdr:cNvPr id="1097" name="Chart 8">
          <a:extLst>
            <a:ext uri="{FF2B5EF4-FFF2-40B4-BE49-F238E27FC236}">
              <a16:creationId xmlns:a16="http://schemas.microsoft.com/office/drawing/2014/main" id="{0D5AA3DC-E1A0-4D7F-9311-6BCFA5F2D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</xdr:row>
      <xdr:rowOff>0</xdr:rowOff>
    </xdr:from>
    <xdr:to>
      <xdr:col>9</xdr:col>
      <xdr:colOff>266700</xdr:colOff>
      <xdr:row>24</xdr:row>
      <xdr:rowOff>120650</xdr:rowOff>
    </xdr:to>
    <xdr:graphicFrame macro="">
      <xdr:nvGraphicFramePr>
        <xdr:cNvPr id="2063" name="Chart 4">
          <a:extLst>
            <a:ext uri="{FF2B5EF4-FFF2-40B4-BE49-F238E27FC236}">
              <a16:creationId xmlns:a16="http://schemas.microsoft.com/office/drawing/2014/main" id="{5EF332FC-C15C-4555-8A13-C81755E7B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2"/>
  <sheetViews>
    <sheetView tabSelected="1" topLeftCell="A7" workbookViewId="0">
      <selection activeCell="J33" sqref="J33"/>
    </sheetView>
  </sheetViews>
  <sheetFormatPr defaultRowHeight="12.5" x14ac:dyDescent="0.25"/>
  <cols>
    <col min="1" max="1" width="2.26953125" customWidth="1"/>
    <col min="3" max="6" width="9.08984375" customWidth="1"/>
    <col min="12" max="13" width="9.08984375" customWidth="1"/>
    <col min="14" max="16" width="0" hidden="1" customWidth="1"/>
  </cols>
  <sheetData>
    <row r="1" spans="2:11" ht="18" x14ac:dyDescent="0.4">
      <c r="B1" s="141" t="s">
        <v>88</v>
      </c>
    </row>
    <row r="3" spans="2:11" ht="18.5" x14ac:dyDescent="0.25">
      <c r="B3" s="218" t="s">
        <v>77</v>
      </c>
    </row>
    <row r="4" spans="2:11" ht="15.5" x14ac:dyDescent="0.25">
      <c r="B4" s="139" t="s">
        <v>80</v>
      </c>
      <c r="C4" s="224" t="s">
        <v>119</v>
      </c>
      <c r="D4" s="224"/>
      <c r="E4" s="224"/>
      <c r="F4" s="224"/>
      <c r="G4" s="224"/>
      <c r="H4" s="224"/>
    </row>
    <row r="5" spans="2:11" ht="15.5" x14ac:dyDescent="0.3">
      <c r="B5" s="139"/>
      <c r="C5" s="224"/>
      <c r="D5" s="224"/>
      <c r="E5" s="224"/>
      <c r="F5" s="224"/>
      <c r="G5" s="224"/>
      <c r="H5" s="224"/>
      <c r="I5" s="193">
        <v>600</v>
      </c>
    </row>
    <row r="6" spans="2:11" ht="15.5" x14ac:dyDescent="0.3">
      <c r="B6" s="139"/>
      <c r="D6" s="33"/>
      <c r="G6" s="159"/>
    </row>
    <row r="7" spans="2:11" ht="15.5" x14ac:dyDescent="0.25">
      <c r="B7" s="137" t="s">
        <v>78</v>
      </c>
    </row>
    <row r="8" spans="2:11" ht="15.5" x14ac:dyDescent="0.3">
      <c r="B8" s="139" t="s">
        <v>82</v>
      </c>
      <c r="C8" s="140" t="s">
        <v>81</v>
      </c>
      <c r="G8" s="159">
        <v>9</v>
      </c>
    </row>
    <row r="9" spans="2:11" ht="15.5" x14ac:dyDescent="0.3">
      <c r="B9" s="139" t="s">
        <v>83</v>
      </c>
      <c r="C9" s="140" t="s">
        <v>84</v>
      </c>
      <c r="G9" s="160">
        <v>45</v>
      </c>
      <c r="J9" s="138"/>
    </row>
    <row r="10" spans="2:11" ht="15.5" x14ac:dyDescent="0.3">
      <c r="B10" s="139" t="s">
        <v>110</v>
      </c>
      <c r="C10" s="140" t="s">
        <v>85</v>
      </c>
      <c r="G10" s="161">
        <v>2.3E-2</v>
      </c>
      <c r="J10" s="138"/>
    </row>
    <row r="11" spans="2:11" ht="15.5" x14ac:dyDescent="0.25">
      <c r="B11" s="137"/>
    </row>
    <row r="12" spans="2:11" ht="15.5" x14ac:dyDescent="0.25">
      <c r="B12" s="137" t="s">
        <v>34</v>
      </c>
    </row>
    <row r="13" spans="2:11" ht="15.5" x14ac:dyDescent="0.3">
      <c r="B13" s="139" t="s">
        <v>91</v>
      </c>
      <c r="C13" s="140" t="s">
        <v>81</v>
      </c>
      <c r="D13" s="140"/>
      <c r="G13" s="162">
        <v>5</v>
      </c>
      <c r="K13" s="138"/>
    </row>
    <row r="14" spans="2:11" ht="15.5" x14ac:dyDescent="0.3">
      <c r="B14" s="139" t="s">
        <v>92</v>
      </c>
      <c r="C14" s="140" t="s">
        <v>84</v>
      </c>
      <c r="D14" s="140"/>
      <c r="G14" s="163">
        <v>85</v>
      </c>
      <c r="K14" s="138"/>
    </row>
    <row r="15" spans="2:11" ht="15.5" x14ac:dyDescent="0.3">
      <c r="B15" s="139" t="s">
        <v>93</v>
      </c>
      <c r="C15" s="140" t="s">
        <v>86</v>
      </c>
      <c r="D15" s="140"/>
      <c r="G15" s="164">
        <v>5.0000000000000001E-3</v>
      </c>
      <c r="K15" s="138"/>
    </row>
    <row r="16" spans="2:11" ht="15.5" x14ac:dyDescent="0.3">
      <c r="B16" s="139" t="s">
        <v>94</v>
      </c>
      <c r="C16" s="140" t="s">
        <v>89</v>
      </c>
      <c r="D16" s="140"/>
      <c r="G16" s="163">
        <v>1</v>
      </c>
      <c r="K16" s="138"/>
    </row>
    <row r="17" spans="2:14" ht="15.5" x14ac:dyDescent="0.3">
      <c r="B17" s="140"/>
      <c r="C17" s="140"/>
      <c r="D17" s="140"/>
      <c r="K17" s="138"/>
    </row>
    <row r="18" spans="2:14" ht="15.5" x14ac:dyDescent="0.3">
      <c r="B18" s="137" t="s">
        <v>90</v>
      </c>
      <c r="C18" s="140"/>
      <c r="D18" s="140"/>
      <c r="K18" s="138"/>
    </row>
    <row r="19" spans="2:14" ht="15.5" x14ac:dyDescent="0.3">
      <c r="B19" s="139" t="s">
        <v>111</v>
      </c>
      <c r="C19" s="140" t="s">
        <v>95</v>
      </c>
      <c r="D19" s="140"/>
      <c r="G19" s="159">
        <v>1.4</v>
      </c>
      <c r="K19" s="138"/>
    </row>
    <row r="20" spans="2:14" ht="15.5" customHeight="1" x14ac:dyDescent="0.25"/>
    <row r="21" spans="2:14" ht="18.5" x14ac:dyDescent="0.25">
      <c r="B21" s="136" t="s">
        <v>79</v>
      </c>
    </row>
    <row r="22" spans="2:14" ht="15.5" x14ac:dyDescent="0.3">
      <c r="B22" s="139" t="s">
        <v>80</v>
      </c>
      <c r="C22" s="140" t="s">
        <v>113</v>
      </c>
    </row>
    <row r="23" spans="2:14" ht="15.5" x14ac:dyDescent="0.3">
      <c r="B23" s="139" t="s">
        <v>82</v>
      </c>
      <c r="C23" s="140" t="s">
        <v>96</v>
      </c>
    </row>
    <row r="24" spans="2:14" ht="15.5" x14ac:dyDescent="0.3">
      <c r="B24" s="139" t="s">
        <v>83</v>
      </c>
      <c r="C24" s="140" t="s">
        <v>97</v>
      </c>
    </row>
    <row r="25" spans="2:14" ht="15.5" x14ac:dyDescent="0.3">
      <c r="B25" s="139" t="s">
        <v>87</v>
      </c>
      <c r="C25" s="140" t="s">
        <v>114</v>
      </c>
    </row>
    <row r="26" spans="2:14" ht="15.5" x14ac:dyDescent="0.3">
      <c r="B26" s="139" t="s">
        <v>91</v>
      </c>
      <c r="C26" s="140" t="s">
        <v>115</v>
      </c>
    </row>
    <row r="28" spans="2:14" ht="15.5" x14ac:dyDescent="0.25">
      <c r="B28" s="139" t="s">
        <v>104</v>
      </c>
    </row>
    <row r="29" spans="2:14" ht="15.5" x14ac:dyDescent="0.25">
      <c r="B29" s="139"/>
    </row>
    <row r="30" spans="2:14" ht="13" thickBot="1" x14ac:dyDescent="0.3">
      <c r="B30" s="145" t="s">
        <v>30</v>
      </c>
      <c r="C30" s="219" t="s">
        <v>45</v>
      </c>
      <c r="D30" s="222"/>
      <c r="E30" s="219" t="s">
        <v>105</v>
      </c>
      <c r="F30" s="220"/>
      <c r="G30" s="220"/>
      <c r="H30" s="220"/>
      <c r="I30" s="220"/>
      <c r="J30" s="220"/>
      <c r="K30" s="220"/>
      <c r="L30" s="221"/>
      <c r="M30" s="144"/>
    </row>
    <row r="31" spans="2:14" x14ac:dyDescent="0.25">
      <c r="B31" s="145" t="s">
        <v>101</v>
      </c>
      <c r="C31" s="151"/>
      <c r="D31" s="145" t="s">
        <v>44</v>
      </c>
      <c r="E31" s="142" t="s">
        <v>98</v>
      </c>
      <c r="F31" s="142"/>
      <c r="G31" s="142"/>
      <c r="I31" s="144" t="s">
        <v>33</v>
      </c>
      <c r="J31" s="144"/>
      <c r="K31" s="144" t="s">
        <v>44</v>
      </c>
      <c r="L31" s="145" t="s">
        <v>41</v>
      </c>
      <c r="M31" s="194" t="s">
        <v>107</v>
      </c>
    </row>
    <row r="32" spans="2:14" x14ac:dyDescent="0.25">
      <c r="B32" s="145" t="s">
        <v>102</v>
      </c>
      <c r="C32" s="151" t="s">
        <v>33</v>
      </c>
      <c r="D32" s="145" t="s">
        <v>41</v>
      </c>
      <c r="E32" s="142" t="s">
        <v>99</v>
      </c>
      <c r="F32" s="223" t="s">
        <v>117</v>
      </c>
      <c r="G32" s="223"/>
      <c r="H32" s="142" t="s">
        <v>33</v>
      </c>
      <c r="I32" s="144" t="s">
        <v>60</v>
      </c>
      <c r="J32" s="144" t="s">
        <v>123</v>
      </c>
      <c r="K32" s="144" t="s">
        <v>41</v>
      </c>
      <c r="L32" s="145" t="s">
        <v>112</v>
      </c>
      <c r="M32" s="144" t="s">
        <v>116</v>
      </c>
      <c r="N32" s="191" t="s">
        <v>108</v>
      </c>
    </row>
    <row r="33" spans="2:17" ht="13" thickBot="1" x14ac:dyDescent="0.3">
      <c r="B33" s="146" t="s">
        <v>103</v>
      </c>
      <c r="C33" s="150" t="s">
        <v>37</v>
      </c>
      <c r="D33" s="146" t="s">
        <v>46</v>
      </c>
      <c r="E33" s="143" t="s">
        <v>9</v>
      </c>
      <c r="F33" s="147" t="s">
        <v>100</v>
      </c>
      <c r="G33" s="147" t="s">
        <v>42</v>
      </c>
      <c r="H33" s="147" t="s">
        <v>37</v>
      </c>
      <c r="I33" s="149" t="s">
        <v>46</v>
      </c>
      <c r="J33" s="149" t="s">
        <v>46</v>
      </c>
      <c r="K33" s="149" t="s">
        <v>46</v>
      </c>
      <c r="L33" s="146" t="s">
        <v>46</v>
      </c>
      <c r="M33" s="149" t="s">
        <v>42</v>
      </c>
      <c r="N33" s="191" t="s">
        <v>109</v>
      </c>
      <c r="O33" s="144"/>
    </row>
    <row r="34" spans="2:17" x14ac:dyDescent="0.25">
      <c r="B34" s="145">
        <f>'2020'!K17</f>
        <v>-7</v>
      </c>
      <c r="C34" s="165">
        <f>'2020'!L17</f>
        <v>45</v>
      </c>
      <c r="D34" s="168">
        <f>'2020'!N17</f>
        <v>405</v>
      </c>
      <c r="E34" s="142">
        <f>'2020'!P17</f>
        <v>26</v>
      </c>
      <c r="F34" s="152">
        <f>'2020'!Q17</f>
        <v>0.25649999999999995</v>
      </c>
      <c r="G34" s="174">
        <f>'2020'!S17</f>
        <v>21.802499999999995</v>
      </c>
      <c r="H34" s="171">
        <f>'2020'!R17</f>
        <v>85</v>
      </c>
      <c r="I34" s="174">
        <f>'2020'!T17</f>
        <v>0</v>
      </c>
      <c r="J34" s="174">
        <f>'2020'!U17</f>
        <v>21.802499999999995</v>
      </c>
      <c r="K34" s="177">
        <f>'2020'!V17</f>
        <v>425</v>
      </c>
      <c r="L34" s="178">
        <f>'2020'!W17</f>
        <v>403.19749999999999</v>
      </c>
      <c r="M34" s="177">
        <f>D34+L34-I$5</f>
        <v>208.19749999999999</v>
      </c>
      <c r="N34">
        <v>8.35</v>
      </c>
      <c r="O34" s="192">
        <v>776.73</v>
      </c>
      <c r="P34" s="64">
        <v>31.467499999999973</v>
      </c>
      <c r="Q34" s="64"/>
    </row>
    <row r="35" spans="2:17" x14ac:dyDescent="0.25">
      <c r="B35" s="153">
        <f>'2020'!K24</f>
        <v>0</v>
      </c>
      <c r="C35" s="167">
        <f>'2020'!L24</f>
        <v>45</v>
      </c>
      <c r="D35" s="169">
        <f>'2020'!N24</f>
        <v>405</v>
      </c>
      <c r="E35" s="154">
        <f>'2020'!P24</f>
        <v>19</v>
      </c>
      <c r="F35" s="155">
        <f>'2020'!Q24</f>
        <v>0.12125999999999998</v>
      </c>
      <c r="G35" s="175">
        <f>'2020'!S24</f>
        <v>9.9517178587300332</v>
      </c>
      <c r="H35" s="172">
        <f>'2020'!R24</f>
        <v>82.069254978806157</v>
      </c>
      <c r="I35" s="175">
        <f>'2020'!T24</f>
        <v>14.653725105969215</v>
      </c>
      <c r="J35" s="175">
        <f>'2020'!U24</f>
        <v>24.60544296469925</v>
      </c>
      <c r="K35" s="179">
        <f>'2020'!V24</f>
        <v>410.34627489403078</v>
      </c>
      <c r="L35" s="180">
        <f>'2020'!W24</f>
        <v>385.74083192933153</v>
      </c>
      <c r="M35" s="179">
        <f>D35+L35-I$5</f>
        <v>190.74083192933153</v>
      </c>
      <c r="N35">
        <v>3.6</v>
      </c>
      <c r="O35" s="192">
        <v>764.32</v>
      </c>
      <c r="P35" s="64">
        <v>26.420831929331484</v>
      </c>
      <c r="Q35" s="64"/>
    </row>
    <row r="36" spans="2:17" x14ac:dyDescent="0.25">
      <c r="B36" s="145">
        <f>'2020'!K31</f>
        <v>7</v>
      </c>
      <c r="C36" s="165">
        <f>'2020'!L31</f>
        <v>38.236176688708944</v>
      </c>
      <c r="D36" s="168">
        <f>'2020'!N31</f>
        <v>344.12559019838051</v>
      </c>
      <c r="E36" s="142">
        <f>'2020'!P31</f>
        <v>12</v>
      </c>
      <c r="F36" s="152">
        <f>'2020'!Q31</f>
        <v>9.9207272727272852E-2</v>
      </c>
      <c r="G36" s="174">
        <f>'2020'!S31</f>
        <v>7.861140654620888</v>
      </c>
      <c r="H36" s="171">
        <f>'2020'!R31</f>
        <v>79.239560150309416</v>
      </c>
      <c r="I36" s="174">
        <f>'2020'!T31</f>
        <v>28.802199248452922</v>
      </c>
      <c r="J36" s="174">
        <f>'2020'!U31</f>
        <v>36.663339903073812</v>
      </c>
      <c r="K36" s="177">
        <f>'2020'!V31</f>
        <v>396.19780075154711</v>
      </c>
      <c r="L36" s="178">
        <f>'2020'!W31</f>
        <v>359.53446084847332</v>
      </c>
      <c r="M36" s="177">
        <f>D36+L36-I$5</f>
        <v>103.66005104685382</v>
      </c>
      <c r="N36">
        <v>0.4</v>
      </c>
      <c r="O36" s="192">
        <v>756</v>
      </c>
      <c r="P36" s="64">
        <v>-45.586577349426648</v>
      </c>
      <c r="Q36" s="64"/>
    </row>
    <row r="37" spans="2:17" ht="13" thickBot="1" x14ac:dyDescent="0.3">
      <c r="B37" s="156">
        <f>'2020'!K38</f>
        <v>14</v>
      </c>
      <c r="C37" s="166">
        <f>'2020'!L38</f>
        <v>32.489004617114873</v>
      </c>
      <c r="D37" s="170">
        <f>'2020'!N38</f>
        <v>292.40104155403384</v>
      </c>
      <c r="E37" s="157">
        <f>'2020'!P38</f>
        <v>11</v>
      </c>
      <c r="F37" s="158">
        <f>'2020'!Q38</f>
        <v>0.17374943820224734</v>
      </c>
      <c r="G37" s="176">
        <f>'2020'!S38</f>
        <v>13.293123218699971</v>
      </c>
      <c r="H37" s="173">
        <f>'2020'!R38</f>
        <v>76.50743136922577</v>
      </c>
      <c r="I37" s="176">
        <f>'2020'!T38</f>
        <v>42.462843153871148</v>
      </c>
      <c r="J37" s="176">
        <f>'2020'!U38</f>
        <v>55.755966372571123</v>
      </c>
      <c r="K37" s="181">
        <f>'2020'!V38</f>
        <v>382.53715684612882</v>
      </c>
      <c r="L37" s="182">
        <f>'2020'!W38</f>
        <v>326.78119047355767</v>
      </c>
      <c r="M37" s="181">
        <f>D37+L37-I$5</f>
        <v>19.182232027591454</v>
      </c>
      <c r="N37">
        <v>0.98</v>
      </c>
      <c r="O37" s="192">
        <v>757.49</v>
      </c>
      <c r="P37" s="64">
        <v>-127.56234221830368</v>
      </c>
      <c r="Q37" s="64"/>
    </row>
    <row r="38" spans="2:17" x14ac:dyDescent="0.25">
      <c r="B38" s="33" t="s">
        <v>118</v>
      </c>
    </row>
    <row r="39" spans="2:17" x14ac:dyDescent="0.25">
      <c r="B39" s="33"/>
    </row>
    <row r="41" spans="2:17" ht="14" customHeight="1" x14ac:dyDescent="0.25">
      <c r="B41" s="33" t="s">
        <v>106</v>
      </c>
      <c r="C41" s="190"/>
      <c r="D41" s="190"/>
      <c r="E41" s="190"/>
      <c r="F41" s="190"/>
      <c r="G41" s="190"/>
      <c r="H41" s="190"/>
    </row>
    <row r="42" spans="2:17" ht="12.5" customHeight="1" x14ac:dyDescent="0.25">
      <c r="B42" s="190"/>
      <c r="C42" s="190"/>
      <c r="D42" s="190"/>
      <c r="E42" s="190"/>
      <c r="F42" s="190"/>
      <c r="G42" s="190"/>
      <c r="H42" s="190"/>
    </row>
  </sheetData>
  <mergeCells count="4">
    <mergeCell ref="E30:L30"/>
    <mergeCell ref="C30:D30"/>
    <mergeCell ref="F32:G32"/>
    <mergeCell ref="C4:H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87"/>
  <sheetViews>
    <sheetView zoomScaleNormal="100" workbookViewId="0">
      <selection activeCell="K18" sqref="K18"/>
    </sheetView>
  </sheetViews>
  <sheetFormatPr defaultRowHeight="12.5" x14ac:dyDescent="0.25"/>
  <cols>
    <col min="1" max="1" width="3.6328125" customWidth="1"/>
    <col min="9" max="9" width="5.26953125" customWidth="1"/>
    <col min="11" max="11" width="9.1796875" customWidth="1"/>
    <col min="13" max="13" width="9.1796875" hidden="1" customWidth="1"/>
    <col min="15" max="15" width="9.1796875" hidden="1" customWidth="1"/>
    <col min="18" max="18" width="8.1796875" customWidth="1"/>
    <col min="23" max="23" width="9.1796875" customWidth="1"/>
    <col min="25" max="25" width="9.26953125" bestFit="1" customWidth="1"/>
    <col min="26" max="26" width="9.1796875" customWidth="1"/>
  </cols>
  <sheetData>
    <row r="1" spans="2:29" x14ac:dyDescent="0.25">
      <c r="B1" t="s">
        <v>29</v>
      </c>
      <c r="J1" s="33" t="s">
        <v>72</v>
      </c>
    </row>
    <row r="2" spans="2:29" x14ac:dyDescent="0.25">
      <c r="B2" t="s">
        <v>50</v>
      </c>
      <c r="J2" s="33" t="s">
        <v>121</v>
      </c>
      <c r="Q2" s="214"/>
    </row>
    <row r="3" spans="2:29" ht="13" x14ac:dyDescent="0.3">
      <c r="I3" s="33"/>
      <c r="J3" t="s">
        <v>120</v>
      </c>
      <c r="Q3" s="214"/>
      <c r="W3" s="42" t="s">
        <v>122</v>
      </c>
      <c r="X3" s="215">
        <v>590</v>
      </c>
    </row>
    <row r="4" spans="2:29" ht="13" x14ac:dyDescent="0.3">
      <c r="B4" s="1" t="s">
        <v>2</v>
      </c>
      <c r="C4" s="6">
        <v>13.5</v>
      </c>
      <c r="D4" t="s">
        <v>27</v>
      </c>
      <c r="E4" s="49" t="s">
        <v>14</v>
      </c>
      <c r="F4" s="49"/>
      <c r="G4" s="183">
        <f>'Inputs + Results'!G13</f>
        <v>5</v>
      </c>
    </row>
    <row r="5" spans="2:29" ht="13" x14ac:dyDescent="0.3">
      <c r="B5" s="1" t="s">
        <v>3</v>
      </c>
      <c r="C5">
        <v>60</v>
      </c>
      <c r="D5" t="s">
        <v>28</v>
      </c>
      <c r="E5" s="49"/>
      <c r="F5" s="49"/>
      <c r="G5" s="184"/>
      <c r="K5" s="9"/>
      <c r="L5" s="225" t="s">
        <v>45</v>
      </c>
      <c r="M5" s="226"/>
      <c r="N5" s="226"/>
      <c r="O5" s="66"/>
      <c r="P5" s="225" t="s">
        <v>34</v>
      </c>
      <c r="Q5" s="226"/>
      <c r="R5" s="226"/>
      <c r="S5" s="226"/>
      <c r="T5" s="226"/>
      <c r="U5" s="226"/>
      <c r="V5" s="226"/>
      <c r="W5" s="227"/>
      <c r="Y5" s="1"/>
    </row>
    <row r="6" spans="2:29" ht="13" x14ac:dyDescent="0.3">
      <c r="B6" s="1" t="s">
        <v>4</v>
      </c>
      <c r="C6">
        <f>C5*(1-C4/100)</f>
        <v>51.9</v>
      </c>
      <c r="D6" t="s">
        <v>28</v>
      </c>
      <c r="E6" s="49" t="s">
        <v>19</v>
      </c>
      <c r="F6" s="49"/>
      <c r="G6" s="183">
        <f>'Inputs + Results'!G19</f>
        <v>1.4</v>
      </c>
      <c r="K6" s="9"/>
      <c r="L6" s="1" t="s">
        <v>33</v>
      </c>
      <c r="M6" s="1" t="s">
        <v>33</v>
      </c>
      <c r="N6" s="66" t="s">
        <v>44</v>
      </c>
      <c r="O6" s="66"/>
      <c r="P6" s="1" t="s">
        <v>49</v>
      </c>
      <c r="R6" s="1" t="s">
        <v>33</v>
      </c>
      <c r="S6" s="1"/>
      <c r="T6" s="1" t="s">
        <v>34</v>
      </c>
      <c r="V6" s="1" t="s">
        <v>44</v>
      </c>
      <c r="W6" s="66" t="s">
        <v>40</v>
      </c>
      <c r="X6" s="1" t="s">
        <v>65</v>
      </c>
      <c r="Y6" s="42" t="s">
        <v>56</v>
      </c>
      <c r="AA6" s="65" t="s">
        <v>61</v>
      </c>
      <c r="AB6" s="65"/>
    </row>
    <row r="7" spans="2:29" ht="13" thickBot="1" x14ac:dyDescent="0.3">
      <c r="B7" s="1" t="s">
        <v>12</v>
      </c>
      <c r="C7">
        <f>C5-C6</f>
        <v>8.1000000000000014</v>
      </c>
      <c r="D7" t="s">
        <v>28</v>
      </c>
      <c r="E7" s="49" t="s">
        <v>22</v>
      </c>
      <c r="F7" s="49"/>
      <c r="G7" s="51">
        <v>1.4999999999999999E-2</v>
      </c>
      <c r="K7" s="66" t="s">
        <v>30</v>
      </c>
      <c r="L7" s="1" t="s">
        <v>37</v>
      </c>
      <c r="M7" s="63" t="s">
        <v>59</v>
      </c>
      <c r="N7" s="66" t="s">
        <v>41</v>
      </c>
      <c r="O7" s="83" t="s">
        <v>69</v>
      </c>
      <c r="P7" s="62" t="s">
        <v>36</v>
      </c>
      <c r="Q7" s="1" t="s">
        <v>43</v>
      </c>
      <c r="R7" s="1" t="s">
        <v>37</v>
      </c>
      <c r="S7" s="1" t="s">
        <v>43</v>
      </c>
      <c r="T7" s="1" t="s">
        <v>33</v>
      </c>
      <c r="U7" s="1" t="s">
        <v>34</v>
      </c>
      <c r="V7" s="1" t="s">
        <v>41</v>
      </c>
      <c r="W7" s="66" t="s">
        <v>41</v>
      </c>
      <c r="X7" s="42" t="s">
        <v>40</v>
      </c>
      <c r="Y7" s="42" t="s">
        <v>57</v>
      </c>
      <c r="Z7" s="55" t="s">
        <v>53</v>
      </c>
      <c r="AA7" s="42" t="s">
        <v>62</v>
      </c>
      <c r="AB7" s="1" t="s">
        <v>64</v>
      </c>
    </row>
    <row r="8" spans="2:29" x14ac:dyDescent="0.25">
      <c r="B8" s="26"/>
      <c r="C8" s="12"/>
      <c r="D8" s="12"/>
      <c r="E8" s="12"/>
      <c r="F8" s="16" t="s">
        <v>21</v>
      </c>
      <c r="G8" s="13"/>
      <c r="K8" s="66" t="s">
        <v>35</v>
      </c>
      <c r="L8" s="47" t="s">
        <v>48</v>
      </c>
      <c r="M8" s="62" t="s">
        <v>37</v>
      </c>
      <c r="N8" s="83" t="s">
        <v>46</v>
      </c>
      <c r="O8" s="83" t="s">
        <v>70</v>
      </c>
      <c r="P8" s="47" t="s">
        <v>71</v>
      </c>
      <c r="Q8" s="1" t="s">
        <v>39</v>
      </c>
      <c r="R8" s="47" t="s">
        <v>48</v>
      </c>
      <c r="S8" s="1" t="s">
        <v>39</v>
      </c>
      <c r="T8" s="1" t="s">
        <v>60</v>
      </c>
      <c r="U8" s="1" t="s">
        <v>66</v>
      </c>
      <c r="V8" s="1" t="s">
        <v>34</v>
      </c>
      <c r="W8" s="66" t="s">
        <v>34</v>
      </c>
      <c r="X8" s="1" t="s">
        <v>41</v>
      </c>
      <c r="Y8" s="42" t="s">
        <v>58</v>
      </c>
      <c r="Z8" s="42" t="s">
        <v>54</v>
      </c>
      <c r="AA8" s="42" t="s">
        <v>33</v>
      </c>
      <c r="AB8" s="42" t="s">
        <v>23</v>
      </c>
      <c r="AC8" s="55"/>
    </row>
    <row r="9" spans="2:29" x14ac:dyDescent="0.25">
      <c r="B9" s="27" t="s">
        <v>5</v>
      </c>
      <c r="C9" s="17" t="s">
        <v>6</v>
      </c>
      <c r="D9" s="17" t="s">
        <v>13</v>
      </c>
      <c r="E9" s="17" t="s">
        <v>15</v>
      </c>
      <c r="F9" s="17" t="s">
        <v>20</v>
      </c>
      <c r="G9" s="18" t="s">
        <v>23</v>
      </c>
      <c r="K9" s="66" t="s">
        <v>32</v>
      </c>
      <c r="L9" s="47" t="s">
        <v>38</v>
      </c>
      <c r="M9" s="47" t="s">
        <v>38</v>
      </c>
      <c r="N9" s="73" t="s">
        <v>47</v>
      </c>
      <c r="O9" s="84" t="s">
        <v>63</v>
      </c>
      <c r="P9" s="47" t="s">
        <v>38</v>
      </c>
      <c r="Q9" s="1" t="s">
        <v>17</v>
      </c>
      <c r="R9" s="47" t="s">
        <v>38</v>
      </c>
      <c r="S9" s="1" t="s">
        <v>46</v>
      </c>
      <c r="T9" s="1" t="s">
        <v>46</v>
      </c>
      <c r="U9" s="1" t="s">
        <v>46</v>
      </c>
      <c r="V9" s="1" t="s">
        <v>46</v>
      </c>
      <c r="W9" s="66" t="s">
        <v>46</v>
      </c>
      <c r="X9" s="1" t="s">
        <v>42</v>
      </c>
      <c r="Y9" s="42" t="s">
        <v>42</v>
      </c>
      <c r="Z9" s="42" t="s">
        <v>55</v>
      </c>
      <c r="AA9" s="42" t="s">
        <v>63</v>
      </c>
      <c r="AB9" s="42" t="s">
        <v>63</v>
      </c>
      <c r="AC9" s="42"/>
    </row>
    <row r="10" spans="2:29" ht="13" x14ac:dyDescent="0.3">
      <c r="B10" s="27" t="s">
        <v>7</v>
      </c>
      <c r="C10" s="17" t="s">
        <v>8</v>
      </c>
      <c r="D10" s="17" t="s">
        <v>11</v>
      </c>
      <c r="E10" s="17" t="s">
        <v>16</v>
      </c>
      <c r="F10" s="17" t="s">
        <v>18</v>
      </c>
      <c r="G10" s="18" t="s">
        <v>18</v>
      </c>
      <c r="I10" s="68"/>
      <c r="J10" s="68"/>
      <c r="K10" s="10" t="s">
        <v>31</v>
      </c>
      <c r="L10" s="186">
        <f>'Inputs + Results'!G10</f>
        <v>2.3E-2</v>
      </c>
      <c r="M10" s="69">
        <v>1</v>
      </c>
      <c r="N10" s="187">
        <v>9</v>
      </c>
      <c r="O10" s="76"/>
      <c r="P10" s="188">
        <f>'Inputs + Results'!G16</f>
        <v>1</v>
      </c>
      <c r="Q10" s="68"/>
      <c r="R10" s="189">
        <f>'Inputs + Results'!G15</f>
        <v>5.0000000000000001E-3</v>
      </c>
      <c r="S10" s="68"/>
      <c r="T10" s="88"/>
      <c r="U10" s="68"/>
      <c r="V10" s="88"/>
      <c r="W10" s="89"/>
      <c r="X10" s="68"/>
      <c r="Y10" s="70"/>
      <c r="Z10" s="68"/>
      <c r="AA10" s="68"/>
      <c r="AB10" s="68"/>
      <c r="AC10" s="42"/>
    </row>
    <row r="11" spans="2:29" ht="13" x14ac:dyDescent="0.3">
      <c r="B11" s="28" t="s">
        <v>9</v>
      </c>
      <c r="C11" s="8" t="s">
        <v>34</v>
      </c>
      <c r="D11" s="8" t="s">
        <v>10</v>
      </c>
      <c r="E11" s="8" t="s">
        <v>17</v>
      </c>
      <c r="F11" s="8" t="s">
        <v>17</v>
      </c>
      <c r="G11" s="25" t="s">
        <v>17</v>
      </c>
      <c r="I11" s="53">
        <v>0</v>
      </c>
      <c r="J11" s="32">
        <v>39593</v>
      </c>
      <c r="K11" s="9">
        <f t="shared" ref="K11:K23" si="0">K12-1</f>
        <v>-13</v>
      </c>
      <c r="L11" s="148">
        <f>'Inputs + Results'!G9</f>
        <v>45</v>
      </c>
      <c r="M11" s="6">
        <v>0</v>
      </c>
      <c r="N11" s="71">
        <f t="shared" ref="N11:N53" si="1">$N$10*L11</f>
        <v>405</v>
      </c>
      <c r="O11" s="9">
        <f t="shared" ref="O11:O53" si="2">$N$10*M11</f>
        <v>0</v>
      </c>
      <c r="P11" s="185">
        <v>32</v>
      </c>
      <c r="Q11" s="7">
        <f>0.0138*$G$6*(P11-$C$4)+$G$7</f>
        <v>0.37241999999999997</v>
      </c>
      <c r="R11" s="148">
        <f>'Inputs + Results'!G14</f>
        <v>85</v>
      </c>
      <c r="S11" s="7">
        <f t="shared" ref="S11:S53" si="3">Q11*R11</f>
        <v>31.655699999999996</v>
      </c>
      <c r="T11" s="7">
        <f t="shared" ref="T11:T53" si="4">(R$11-R11)*G$4</f>
        <v>0</v>
      </c>
      <c r="U11" s="7">
        <f>S11+T11</f>
        <v>31.655699999999996</v>
      </c>
      <c r="V11" s="64">
        <f t="shared" ref="V11:V53" si="5">R11*G$4</f>
        <v>425</v>
      </c>
      <c r="W11" s="71">
        <f t="shared" ref="W11:W53" si="6">V11-U11</f>
        <v>393.34429999999998</v>
      </c>
      <c r="X11" s="64">
        <f>N11+W11-X$3</f>
        <v>208.34429999999998</v>
      </c>
      <c r="Y11" s="61"/>
      <c r="Z11" s="52">
        <f t="shared" ref="Z11:Z53" si="7">X11/X$55</f>
        <v>0.95484274567765437</v>
      </c>
      <c r="AA11" s="60">
        <f t="shared" ref="AA11:AA53" si="8">N$17-N11</f>
        <v>0</v>
      </c>
      <c r="AB11" s="60">
        <f t="shared" ref="AB11:AB53" si="9">U11+AA11</f>
        <v>31.655699999999996</v>
      </c>
    </row>
    <row r="12" spans="2:29" x14ac:dyDescent="0.25">
      <c r="B12" s="29">
        <v>9</v>
      </c>
      <c r="C12" s="2">
        <f t="shared" ref="C12:C54" si="10">$B12/100*C$6/(1-$B12/100)</f>
        <v>5.1329670329670325</v>
      </c>
      <c r="D12" s="19">
        <f t="shared" ref="D12:D20" si="11">C$7-C12</f>
        <v>2.9670329670329689</v>
      </c>
      <c r="E12" s="20">
        <f>G$4*D12/C$5</f>
        <v>0.2472527472527474</v>
      </c>
      <c r="F12" s="19">
        <f t="shared" ref="F12:F19" si="12">0.0138*G$6*ABS(B12-C$4)+G$7</f>
        <v>0.10193999999999999</v>
      </c>
      <c r="G12" s="21">
        <f t="shared" ref="G12:G26" si="13">E12+F12</f>
        <v>0.3491927472527474</v>
      </c>
      <c r="I12" s="54">
        <f>I11+1</f>
        <v>1</v>
      </c>
      <c r="J12" s="32">
        <f>J11+1</f>
        <v>39594</v>
      </c>
      <c r="K12" s="9">
        <f t="shared" si="0"/>
        <v>-12</v>
      </c>
      <c r="L12" s="6">
        <f t="shared" ref="L12:L24" si="14">L11</f>
        <v>45</v>
      </c>
      <c r="M12" s="6">
        <f>L11-L12</f>
        <v>0</v>
      </c>
      <c r="N12" s="71">
        <f t="shared" si="1"/>
        <v>405</v>
      </c>
      <c r="O12" s="9">
        <f t="shared" si="2"/>
        <v>0</v>
      </c>
      <c r="P12" s="6">
        <f t="shared" ref="P12:P32" si="15">P11-P$10</f>
        <v>31</v>
      </c>
      <c r="Q12" s="7">
        <f t="shared" ref="Q12:Q29" si="16">0.0138*$G$6*(P12-$C$4)+$G$7</f>
        <v>0.35309999999999997</v>
      </c>
      <c r="R12" s="6">
        <f t="shared" ref="R12:R17" si="17">R11</f>
        <v>85</v>
      </c>
      <c r="S12" s="7">
        <f t="shared" si="3"/>
        <v>30.013499999999997</v>
      </c>
      <c r="T12" s="7">
        <f t="shared" si="4"/>
        <v>0</v>
      </c>
      <c r="U12" s="7">
        <f t="shared" ref="U12:U53" si="18">S12+T12</f>
        <v>30.013499999999997</v>
      </c>
      <c r="V12" s="64">
        <f t="shared" si="5"/>
        <v>425</v>
      </c>
      <c r="W12" s="71">
        <f t="shared" si="6"/>
        <v>394.98649999999998</v>
      </c>
      <c r="X12" s="64">
        <f t="shared" ref="X12:X53" si="19">N12+W12-X$3</f>
        <v>209.98649999999998</v>
      </c>
      <c r="Y12" s="90">
        <f>X12-X11</f>
        <v>1.6422000000000025</v>
      </c>
      <c r="Z12" s="52">
        <f t="shared" si="7"/>
        <v>0.96236895473137862</v>
      </c>
      <c r="AA12" s="60">
        <f t="shared" si="8"/>
        <v>0</v>
      </c>
      <c r="AB12" s="60">
        <f t="shared" si="9"/>
        <v>30.013499999999997</v>
      </c>
      <c r="AC12" s="60"/>
    </row>
    <row r="13" spans="2:29" x14ac:dyDescent="0.25">
      <c r="B13" s="29">
        <v>9.5</v>
      </c>
      <c r="C13" s="2">
        <f t="shared" si="10"/>
        <v>5.4480662983425416</v>
      </c>
      <c r="D13" s="19">
        <f t="shared" si="11"/>
        <v>2.6519337016574598</v>
      </c>
      <c r="E13" s="20">
        <f>G$4*D13/C$5</f>
        <v>0.22099447513812162</v>
      </c>
      <c r="F13" s="19">
        <f t="shared" si="12"/>
        <v>9.2279999999999987E-2</v>
      </c>
      <c r="G13" s="21">
        <f t="shared" si="13"/>
        <v>0.31327447513812162</v>
      </c>
      <c r="I13" s="54">
        <f t="shared" ref="I13:K53" si="20">I12+1</f>
        <v>2</v>
      </c>
      <c r="J13" s="32">
        <f t="shared" si="20"/>
        <v>39595</v>
      </c>
      <c r="K13" s="9">
        <f t="shared" si="0"/>
        <v>-11</v>
      </c>
      <c r="L13" s="6">
        <f t="shared" si="14"/>
        <v>45</v>
      </c>
      <c r="M13" s="6">
        <f t="shared" ref="M13:M24" si="21">L12-L13</f>
        <v>0</v>
      </c>
      <c r="N13" s="71">
        <f t="shared" si="1"/>
        <v>405</v>
      </c>
      <c r="O13" s="9">
        <f t="shared" si="2"/>
        <v>0</v>
      </c>
      <c r="P13" s="6">
        <f t="shared" si="15"/>
        <v>30</v>
      </c>
      <c r="Q13" s="7">
        <f t="shared" si="16"/>
        <v>0.33377999999999997</v>
      </c>
      <c r="R13" s="6">
        <f t="shared" si="17"/>
        <v>85</v>
      </c>
      <c r="S13" s="7">
        <f t="shared" si="3"/>
        <v>28.371299999999998</v>
      </c>
      <c r="T13" s="7">
        <f t="shared" si="4"/>
        <v>0</v>
      </c>
      <c r="U13" s="7">
        <f>S13+T13</f>
        <v>28.371299999999998</v>
      </c>
      <c r="V13" s="64">
        <f t="shared" si="5"/>
        <v>425</v>
      </c>
      <c r="W13" s="71">
        <f t="shared" si="6"/>
        <v>396.62869999999998</v>
      </c>
      <c r="X13" s="64">
        <f t="shared" si="19"/>
        <v>211.62869999999998</v>
      </c>
      <c r="Y13" s="90">
        <f t="shared" ref="Y13:Y53" si="22">X13-X12</f>
        <v>1.6422000000000025</v>
      </c>
      <c r="Z13" s="52">
        <f t="shared" si="7"/>
        <v>0.96989516378510288</v>
      </c>
      <c r="AA13" s="60">
        <f t="shared" si="8"/>
        <v>0</v>
      </c>
      <c r="AB13" s="60">
        <f t="shared" si="9"/>
        <v>28.371299999999998</v>
      </c>
      <c r="AC13" s="60"/>
    </row>
    <row r="14" spans="2:29" x14ac:dyDescent="0.25">
      <c r="B14" s="29">
        <v>10</v>
      </c>
      <c r="C14" s="2">
        <f t="shared" si="10"/>
        <v>5.7666666666666666</v>
      </c>
      <c r="D14" s="19">
        <f t="shared" si="11"/>
        <v>2.3333333333333348</v>
      </c>
      <c r="E14" s="20">
        <f t="shared" ref="E14:E19" si="23">G$4*D14/C$5</f>
        <v>0.19444444444444459</v>
      </c>
      <c r="F14" s="19">
        <f t="shared" si="12"/>
        <v>8.2619999999999985E-2</v>
      </c>
      <c r="G14" s="21">
        <f t="shared" si="13"/>
        <v>0.27706444444444456</v>
      </c>
      <c r="I14" s="54">
        <f t="shared" si="20"/>
        <v>3</v>
      </c>
      <c r="J14" s="32">
        <f t="shared" si="20"/>
        <v>39596</v>
      </c>
      <c r="K14" s="9">
        <f t="shared" si="0"/>
        <v>-10</v>
      </c>
      <c r="L14" s="6">
        <f t="shared" si="14"/>
        <v>45</v>
      </c>
      <c r="M14" s="6">
        <f t="shared" si="21"/>
        <v>0</v>
      </c>
      <c r="N14" s="71">
        <f t="shared" si="1"/>
        <v>405</v>
      </c>
      <c r="O14" s="9">
        <f t="shared" si="2"/>
        <v>0</v>
      </c>
      <c r="P14" s="6">
        <f t="shared" si="15"/>
        <v>29</v>
      </c>
      <c r="Q14" s="7">
        <f t="shared" si="16"/>
        <v>0.31445999999999996</v>
      </c>
      <c r="R14" s="6">
        <f t="shared" si="17"/>
        <v>85</v>
      </c>
      <c r="S14" s="7">
        <f t="shared" si="3"/>
        <v>26.729099999999995</v>
      </c>
      <c r="T14" s="7">
        <f t="shared" si="4"/>
        <v>0</v>
      </c>
      <c r="U14" s="7">
        <f t="shared" si="18"/>
        <v>26.729099999999995</v>
      </c>
      <c r="V14" s="64">
        <f t="shared" si="5"/>
        <v>425</v>
      </c>
      <c r="W14" s="71">
        <f t="shared" si="6"/>
        <v>398.27089999999998</v>
      </c>
      <c r="X14" s="64">
        <f t="shared" si="19"/>
        <v>213.27089999999998</v>
      </c>
      <c r="Y14" s="90">
        <f t="shared" si="22"/>
        <v>1.6422000000000025</v>
      </c>
      <c r="Z14" s="52">
        <f t="shared" si="7"/>
        <v>0.97742137283882713</v>
      </c>
      <c r="AA14" s="60">
        <f t="shared" si="8"/>
        <v>0</v>
      </c>
      <c r="AB14" s="60">
        <f t="shared" si="9"/>
        <v>26.729099999999995</v>
      </c>
      <c r="AC14" s="60"/>
    </row>
    <row r="15" spans="2:29" x14ac:dyDescent="0.25">
      <c r="B15" s="29">
        <v>10.5</v>
      </c>
      <c r="C15" s="2">
        <f t="shared" si="10"/>
        <v>6.0888268156424576</v>
      </c>
      <c r="D15" s="19">
        <f t="shared" si="11"/>
        <v>2.0111731843575438</v>
      </c>
      <c r="E15" s="20">
        <f t="shared" si="23"/>
        <v>0.16759776536312865</v>
      </c>
      <c r="F15" s="19">
        <f t="shared" si="12"/>
        <v>7.2959999999999997E-2</v>
      </c>
      <c r="G15" s="21">
        <f t="shared" si="13"/>
        <v>0.24055776536312864</v>
      </c>
      <c r="I15" s="54">
        <f t="shared" si="20"/>
        <v>4</v>
      </c>
      <c r="J15" s="32">
        <f t="shared" si="20"/>
        <v>39597</v>
      </c>
      <c r="K15" s="9">
        <f t="shared" si="0"/>
        <v>-9</v>
      </c>
      <c r="L15" s="6">
        <f t="shared" si="14"/>
        <v>45</v>
      </c>
      <c r="M15" s="6">
        <f t="shared" si="21"/>
        <v>0</v>
      </c>
      <c r="N15" s="71">
        <f t="shared" si="1"/>
        <v>405</v>
      </c>
      <c r="O15" s="9">
        <f t="shared" si="2"/>
        <v>0</v>
      </c>
      <c r="P15" s="6">
        <f t="shared" si="15"/>
        <v>28</v>
      </c>
      <c r="Q15" s="7">
        <f t="shared" si="16"/>
        <v>0.29513999999999996</v>
      </c>
      <c r="R15" s="6">
        <f t="shared" si="17"/>
        <v>85</v>
      </c>
      <c r="S15" s="7">
        <f t="shared" si="3"/>
        <v>25.086899999999996</v>
      </c>
      <c r="T15" s="7">
        <f t="shared" si="4"/>
        <v>0</v>
      </c>
      <c r="U15" s="7">
        <f t="shared" si="18"/>
        <v>25.086899999999996</v>
      </c>
      <c r="V15" s="64">
        <f t="shared" si="5"/>
        <v>425</v>
      </c>
      <c r="W15" s="71">
        <f t="shared" si="6"/>
        <v>399.91309999999999</v>
      </c>
      <c r="X15" s="64">
        <f t="shared" si="19"/>
        <v>214.91309999999999</v>
      </c>
      <c r="Y15" s="90">
        <f t="shared" si="22"/>
        <v>1.6422000000000025</v>
      </c>
      <c r="Z15" s="52">
        <f t="shared" si="7"/>
        <v>0.98494758189255149</v>
      </c>
      <c r="AA15" s="60">
        <f t="shared" si="8"/>
        <v>0</v>
      </c>
      <c r="AB15" s="60">
        <f t="shared" si="9"/>
        <v>25.086899999999996</v>
      </c>
      <c r="AC15" s="60"/>
    </row>
    <row r="16" spans="2:29" x14ac:dyDescent="0.25">
      <c r="B16" s="29">
        <v>11</v>
      </c>
      <c r="C16" s="2">
        <f t="shared" si="10"/>
        <v>6.4146067415730332</v>
      </c>
      <c r="D16" s="19">
        <f t="shared" si="11"/>
        <v>1.6853932584269682</v>
      </c>
      <c r="E16" s="20">
        <f t="shared" si="23"/>
        <v>0.14044943820224734</v>
      </c>
      <c r="F16" s="19">
        <f t="shared" si="12"/>
        <v>6.3299999999999995E-2</v>
      </c>
      <c r="G16" s="21">
        <f t="shared" si="13"/>
        <v>0.20374943820224733</v>
      </c>
      <c r="I16" s="54">
        <f t="shared" si="20"/>
        <v>5</v>
      </c>
      <c r="J16" s="32">
        <f t="shared" si="20"/>
        <v>39598</v>
      </c>
      <c r="K16" s="9">
        <f t="shared" si="0"/>
        <v>-8</v>
      </c>
      <c r="L16" s="6">
        <f t="shared" si="14"/>
        <v>45</v>
      </c>
      <c r="M16" s="6">
        <f t="shared" si="21"/>
        <v>0</v>
      </c>
      <c r="N16" s="71">
        <f t="shared" si="1"/>
        <v>405</v>
      </c>
      <c r="O16" s="9">
        <f t="shared" si="2"/>
        <v>0</v>
      </c>
      <c r="P16" s="6">
        <f t="shared" si="15"/>
        <v>27</v>
      </c>
      <c r="Q16" s="7">
        <f t="shared" si="16"/>
        <v>0.27581999999999995</v>
      </c>
      <c r="R16" s="6">
        <f t="shared" si="17"/>
        <v>85</v>
      </c>
      <c r="S16" s="7">
        <f t="shared" si="3"/>
        <v>23.444699999999997</v>
      </c>
      <c r="T16" s="7">
        <f t="shared" si="4"/>
        <v>0</v>
      </c>
      <c r="U16" s="7">
        <f t="shared" si="18"/>
        <v>23.444699999999997</v>
      </c>
      <c r="V16" s="64">
        <f t="shared" si="5"/>
        <v>425</v>
      </c>
      <c r="W16" s="71">
        <f t="shared" si="6"/>
        <v>401.55529999999999</v>
      </c>
      <c r="X16" s="64">
        <f t="shared" si="19"/>
        <v>216.55529999999999</v>
      </c>
      <c r="Y16" s="90">
        <f t="shared" si="22"/>
        <v>1.6422000000000025</v>
      </c>
      <c r="Z16" s="52">
        <f t="shared" si="7"/>
        <v>0.99247379094627575</v>
      </c>
      <c r="AA16" s="60">
        <f t="shared" si="8"/>
        <v>0</v>
      </c>
      <c r="AB16" s="60">
        <f t="shared" si="9"/>
        <v>23.444699999999997</v>
      </c>
      <c r="AC16" s="60"/>
    </row>
    <row r="17" spans="2:29" x14ac:dyDescent="0.25">
      <c r="B17" s="30">
        <v>11.5</v>
      </c>
      <c r="C17" s="2">
        <f t="shared" si="10"/>
        <v>6.7440677966101692</v>
      </c>
      <c r="D17" s="19">
        <f t="shared" si="11"/>
        <v>1.3559322033898322</v>
      </c>
      <c r="E17" s="20">
        <f t="shared" si="23"/>
        <v>0.11299435028248601</v>
      </c>
      <c r="F17" s="19">
        <f t="shared" si="12"/>
        <v>5.3639999999999993E-2</v>
      </c>
      <c r="G17" s="21">
        <f t="shared" si="13"/>
        <v>0.16663435028248602</v>
      </c>
      <c r="I17" s="54">
        <f t="shared" si="20"/>
        <v>6</v>
      </c>
      <c r="J17" s="94">
        <f t="shared" si="20"/>
        <v>39599</v>
      </c>
      <c r="K17" s="107">
        <f t="shared" si="0"/>
        <v>-7</v>
      </c>
      <c r="L17" s="108">
        <f t="shared" si="14"/>
        <v>45</v>
      </c>
      <c r="M17" s="108">
        <f>L16-L17</f>
        <v>0</v>
      </c>
      <c r="N17" s="109">
        <f>$N$10*L17</f>
        <v>405</v>
      </c>
      <c r="O17" s="107">
        <f>$N$10*M17</f>
        <v>0</v>
      </c>
      <c r="P17" s="108">
        <f t="shared" si="15"/>
        <v>26</v>
      </c>
      <c r="Q17" s="110">
        <f>0.0138*$G$6*(P17-$C$4)+$G$7</f>
        <v>0.25649999999999995</v>
      </c>
      <c r="R17" s="108">
        <f t="shared" si="17"/>
        <v>85</v>
      </c>
      <c r="S17" s="110">
        <f>Q17*R17</f>
        <v>21.802499999999995</v>
      </c>
      <c r="T17" s="110">
        <f>(R$11-R17)*G$4</f>
        <v>0</v>
      </c>
      <c r="U17" s="110">
        <f>S17+T17</f>
        <v>21.802499999999995</v>
      </c>
      <c r="V17" s="111">
        <f>R17*G$4</f>
        <v>425</v>
      </c>
      <c r="W17" s="109">
        <f>V17-U17</f>
        <v>403.19749999999999</v>
      </c>
      <c r="X17" s="216">
        <f t="shared" si="19"/>
        <v>218.19749999999999</v>
      </c>
      <c r="Y17" s="112">
        <f>X17-X16</f>
        <v>1.6422000000000025</v>
      </c>
      <c r="Z17" s="113">
        <f>X17/X$55</f>
        <v>1</v>
      </c>
      <c r="AA17" s="114">
        <f>N$17-N17</f>
        <v>0</v>
      </c>
      <c r="AB17" s="114">
        <f>U17+AA17</f>
        <v>21.802499999999995</v>
      </c>
      <c r="AC17" s="60"/>
    </row>
    <row r="18" spans="2:29" x14ac:dyDescent="0.25">
      <c r="B18" s="30">
        <v>12</v>
      </c>
      <c r="C18" s="2">
        <f t="shared" si="10"/>
        <v>7.0772727272727272</v>
      </c>
      <c r="D18" s="19">
        <f t="shared" si="11"/>
        <v>1.0227272727272743</v>
      </c>
      <c r="E18" s="20">
        <f t="shared" si="23"/>
        <v>8.522727272727286E-2</v>
      </c>
      <c r="F18" s="19">
        <f t="shared" si="12"/>
        <v>4.3979999999999991E-2</v>
      </c>
      <c r="G18" s="21">
        <f t="shared" si="13"/>
        <v>0.12920727272727284</v>
      </c>
      <c r="I18" s="54">
        <f t="shared" si="20"/>
        <v>7</v>
      </c>
      <c r="J18" s="95">
        <f t="shared" si="20"/>
        <v>39600</v>
      </c>
      <c r="K18" s="9">
        <f t="shared" si="0"/>
        <v>-6</v>
      </c>
      <c r="L18" s="2">
        <f t="shared" si="14"/>
        <v>45</v>
      </c>
      <c r="M18" s="2">
        <f t="shared" si="21"/>
        <v>0</v>
      </c>
      <c r="N18" s="71">
        <f t="shared" si="1"/>
        <v>405</v>
      </c>
      <c r="O18" s="9">
        <f t="shared" si="2"/>
        <v>0</v>
      </c>
      <c r="P18" s="2">
        <f t="shared" si="15"/>
        <v>25</v>
      </c>
      <c r="Q18" s="96">
        <f t="shared" si="16"/>
        <v>0.23717999999999995</v>
      </c>
      <c r="R18" s="2">
        <f t="shared" ref="R18:R53" si="24">R17*(1-R$10)</f>
        <v>84.575000000000003</v>
      </c>
      <c r="S18" s="96">
        <f t="shared" si="3"/>
        <v>20.059498499999997</v>
      </c>
      <c r="T18" s="96">
        <f t="shared" si="4"/>
        <v>2.1249999999999858</v>
      </c>
      <c r="U18" s="96">
        <f t="shared" si="18"/>
        <v>22.184498499999982</v>
      </c>
      <c r="V18" s="97">
        <f t="shared" si="5"/>
        <v>422.875</v>
      </c>
      <c r="W18" s="71">
        <f t="shared" si="6"/>
        <v>400.69050150000004</v>
      </c>
      <c r="X18" s="64">
        <f t="shared" si="19"/>
        <v>215.69050149999998</v>
      </c>
      <c r="Y18" s="98">
        <f t="shared" si="22"/>
        <v>-2.5069985000000088</v>
      </c>
      <c r="Z18" s="99">
        <f t="shared" si="7"/>
        <v>0.9885104160221817</v>
      </c>
      <c r="AA18" s="19">
        <f t="shared" si="8"/>
        <v>0</v>
      </c>
      <c r="AB18" s="100">
        <f t="shared" si="9"/>
        <v>22.184498499999982</v>
      </c>
      <c r="AC18" s="60"/>
    </row>
    <row r="19" spans="2:29" x14ac:dyDescent="0.25">
      <c r="B19" s="211">
        <v>12.5</v>
      </c>
      <c r="C19" s="196">
        <f t="shared" si="10"/>
        <v>7.4142857142857137</v>
      </c>
      <c r="D19" s="209">
        <f t="shared" si="11"/>
        <v>0.68571428571428772</v>
      </c>
      <c r="E19" s="212">
        <f t="shared" si="23"/>
        <v>5.7142857142857308E-2</v>
      </c>
      <c r="F19" s="209">
        <f t="shared" si="12"/>
        <v>3.4319999999999996E-2</v>
      </c>
      <c r="G19" s="213">
        <f t="shared" si="13"/>
        <v>9.1462857142857304E-2</v>
      </c>
      <c r="I19" s="54">
        <f t="shared" si="20"/>
        <v>8</v>
      </c>
      <c r="J19" s="95">
        <f t="shared" si="20"/>
        <v>39601</v>
      </c>
      <c r="K19" s="9">
        <f t="shared" si="0"/>
        <v>-5</v>
      </c>
      <c r="L19" s="2">
        <f t="shared" si="14"/>
        <v>45</v>
      </c>
      <c r="M19" s="2">
        <f t="shared" si="21"/>
        <v>0</v>
      </c>
      <c r="N19" s="71">
        <f t="shared" si="1"/>
        <v>405</v>
      </c>
      <c r="O19" s="9">
        <f t="shared" si="2"/>
        <v>0</v>
      </c>
      <c r="P19" s="2">
        <f t="shared" si="15"/>
        <v>24</v>
      </c>
      <c r="Q19" s="96">
        <f t="shared" si="16"/>
        <v>0.21785999999999994</v>
      </c>
      <c r="R19" s="6">
        <f t="shared" si="24"/>
        <v>84.152124999999998</v>
      </c>
      <c r="S19" s="96">
        <f t="shared" si="3"/>
        <v>18.333381952499995</v>
      </c>
      <c r="T19" s="96">
        <f t="shared" si="4"/>
        <v>4.2393750000000097</v>
      </c>
      <c r="U19" s="96">
        <f t="shared" si="18"/>
        <v>22.572756952500004</v>
      </c>
      <c r="V19" s="97">
        <f t="shared" si="5"/>
        <v>420.760625</v>
      </c>
      <c r="W19" s="71">
        <f t="shared" si="6"/>
        <v>398.18786804749999</v>
      </c>
      <c r="X19" s="64">
        <f t="shared" si="19"/>
        <v>213.18786804749993</v>
      </c>
      <c r="Y19" s="98">
        <f t="shared" si="22"/>
        <v>-2.5026334525000493</v>
      </c>
      <c r="Z19" s="99">
        <f t="shared" si="7"/>
        <v>0.97704083707421008</v>
      </c>
      <c r="AA19" s="19">
        <f t="shared" si="8"/>
        <v>0</v>
      </c>
      <c r="AB19" s="100">
        <f t="shared" si="9"/>
        <v>22.572756952500004</v>
      </c>
      <c r="AC19" s="60"/>
    </row>
    <row r="20" spans="2:29" x14ac:dyDescent="0.25">
      <c r="B20" s="30">
        <v>13</v>
      </c>
      <c r="C20" s="2">
        <f t="shared" si="10"/>
        <v>7.7551724137931037</v>
      </c>
      <c r="D20" s="19">
        <f t="shared" si="11"/>
        <v>0.34482758620689768</v>
      </c>
      <c r="E20" s="20">
        <f>G$4*D20/C$5</f>
        <v>2.8735632183908139E-2</v>
      </c>
      <c r="F20" s="19">
        <f>0.0138*G$6*ABS(B20-C$4)+G$7</f>
        <v>2.4659999999999998E-2</v>
      </c>
      <c r="G20" s="21">
        <f t="shared" si="13"/>
        <v>5.3395632183908137E-2</v>
      </c>
      <c r="I20" s="54">
        <f t="shared" si="20"/>
        <v>9</v>
      </c>
      <c r="J20" s="95">
        <f t="shared" si="20"/>
        <v>39602</v>
      </c>
      <c r="K20" s="9">
        <f t="shared" si="0"/>
        <v>-4</v>
      </c>
      <c r="L20" s="2">
        <f t="shared" si="14"/>
        <v>45</v>
      </c>
      <c r="M20" s="2">
        <f t="shared" si="21"/>
        <v>0</v>
      </c>
      <c r="N20" s="71">
        <f t="shared" si="1"/>
        <v>405</v>
      </c>
      <c r="O20" s="9">
        <f t="shared" si="2"/>
        <v>0</v>
      </c>
      <c r="P20" s="2">
        <f t="shared" si="15"/>
        <v>23</v>
      </c>
      <c r="Q20" s="96">
        <f t="shared" si="16"/>
        <v>0.19853999999999999</v>
      </c>
      <c r="R20" s="6">
        <f t="shared" si="24"/>
        <v>83.731364374999998</v>
      </c>
      <c r="S20" s="96">
        <f t="shared" si="3"/>
        <v>16.624025083012498</v>
      </c>
      <c r="T20" s="96">
        <f t="shared" si="4"/>
        <v>6.3431781250000085</v>
      </c>
      <c r="U20" s="96">
        <f t="shared" si="18"/>
        <v>22.967203208012506</v>
      </c>
      <c r="V20" s="97">
        <f t="shared" si="5"/>
        <v>418.65682187499999</v>
      </c>
      <c r="W20" s="71">
        <f t="shared" si="6"/>
        <v>395.68961866698749</v>
      </c>
      <c r="X20" s="64">
        <f t="shared" si="19"/>
        <v>210.68961866698749</v>
      </c>
      <c r="Y20" s="98">
        <f t="shared" si="22"/>
        <v>-2.4982493805124477</v>
      </c>
      <c r="Z20" s="99">
        <f t="shared" si="7"/>
        <v>0.96559135034538657</v>
      </c>
      <c r="AA20" s="19">
        <f t="shared" si="8"/>
        <v>0</v>
      </c>
      <c r="AB20" s="100">
        <f t="shared" si="9"/>
        <v>22.967203208012506</v>
      </c>
      <c r="AC20" s="60"/>
    </row>
    <row r="21" spans="2:29" x14ac:dyDescent="0.25">
      <c r="B21" s="30">
        <v>13.5</v>
      </c>
      <c r="C21" s="2">
        <f t="shared" si="10"/>
        <v>8.1</v>
      </c>
      <c r="D21" s="19">
        <f>C21-C$7</f>
        <v>0</v>
      </c>
      <c r="E21" s="20">
        <f t="shared" ref="E21:E26" si="25">G$4*D21/C$5</f>
        <v>0</v>
      </c>
      <c r="F21" s="19">
        <f>0.0138*G$6*ABS(B21-C$4)+G$7</f>
        <v>1.4999999999999999E-2</v>
      </c>
      <c r="G21" s="21">
        <f t="shared" si="13"/>
        <v>1.4999999999999999E-2</v>
      </c>
      <c r="I21" s="54">
        <f t="shared" si="20"/>
        <v>10</v>
      </c>
      <c r="J21" s="104">
        <f t="shared" si="20"/>
        <v>39603</v>
      </c>
      <c r="K21" s="72">
        <f t="shared" si="0"/>
        <v>-3</v>
      </c>
      <c r="L21" s="196">
        <f t="shared" si="14"/>
        <v>45</v>
      </c>
      <c r="M21" s="196">
        <f t="shared" si="21"/>
        <v>0</v>
      </c>
      <c r="N21" s="86">
        <f t="shared" si="1"/>
        <v>405</v>
      </c>
      <c r="O21" s="72">
        <f t="shared" si="2"/>
        <v>0</v>
      </c>
      <c r="P21" s="196">
        <f t="shared" si="15"/>
        <v>22</v>
      </c>
      <c r="Q21" s="206">
        <f t="shared" si="16"/>
        <v>0.17921999999999999</v>
      </c>
      <c r="R21" s="34">
        <f t="shared" si="24"/>
        <v>83.312707553124994</v>
      </c>
      <c r="S21" s="206">
        <f t="shared" si="3"/>
        <v>14.931303447671061</v>
      </c>
      <c r="T21" s="206">
        <f t="shared" si="4"/>
        <v>8.4364622343750284</v>
      </c>
      <c r="U21" s="206">
        <f t="shared" si="18"/>
        <v>23.367765682046091</v>
      </c>
      <c r="V21" s="207">
        <f t="shared" si="5"/>
        <v>416.56353776562497</v>
      </c>
      <c r="W21" s="86">
        <f t="shared" si="6"/>
        <v>393.1957720835789</v>
      </c>
      <c r="X21" s="64">
        <f t="shared" si="19"/>
        <v>208.19577208357896</v>
      </c>
      <c r="Y21" s="98">
        <f t="shared" si="22"/>
        <v>-2.4938465834085264</v>
      </c>
      <c r="Z21" s="208">
        <f t="shared" si="7"/>
        <v>0.95416204165299312</v>
      </c>
      <c r="AA21" s="209">
        <f t="shared" si="8"/>
        <v>0</v>
      </c>
      <c r="AB21" s="210">
        <f t="shared" si="9"/>
        <v>23.367765682046091</v>
      </c>
      <c r="AC21" s="60"/>
    </row>
    <row r="22" spans="2:29" x14ac:dyDescent="0.25">
      <c r="B22" s="30">
        <v>14</v>
      </c>
      <c r="C22" s="2">
        <f t="shared" si="10"/>
        <v>8.4488372093023276</v>
      </c>
      <c r="D22" s="19">
        <f t="shared" ref="D22:D54" si="26">C22-C$7</f>
        <v>0.3488372093023262</v>
      </c>
      <c r="E22" s="20">
        <f t="shared" si="25"/>
        <v>2.9069767441860517E-2</v>
      </c>
      <c r="F22" s="19">
        <f>0.0138*G$6*(B22-C$4)+G$7</f>
        <v>2.4659999999999998E-2</v>
      </c>
      <c r="G22" s="21">
        <f t="shared" si="13"/>
        <v>5.3729767441860518E-2</v>
      </c>
      <c r="I22" s="54">
        <f t="shared" si="20"/>
        <v>11</v>
      </c>
      <c r="J22" s="101">
        <f t="shared" si="20"/>
        <v>39604</v>
      </c>
      <c r="K22" s="67">
        <f t="shared" si="0"/>
        <v>-2</v>
      </c>
      <c r="L22" s="102">
        <f t="shared" si="14"/>
        <v>45</v>
      </c>
      <c r="M22" s="2">
        <f t="shared" si="21"/>
        <v>0</v>
      </c>
      <c r="N22" s="85">
        <f t="shared" si="1"/>
        <v>405</v>
      </c>
      <c r="O22" s="67">
        <f t="shared" si="2"/>
        <v>0</v>
      </c>
      <c r="P22" s="102">
        <f t="shared" si="15"/>
        <v>21</v>
      </c>
      <c r="Q22" s="96">
        <f t="shared" si="16"/>
        <v>0.15989999999999999</v>
      </c>
      <c r="R22" s="6">
        <f t="shared" si="24"/>
        <v>82.896144015359368</v>
      </c>
      <c r="S22" s="103">
        <f t="shared" si="3"/>
        <v>13.255093428055963</v>
      </c>
      <c r="T22" s="96">
        <f t="shared" si="4"/>
        <v>10.519279923203158</v>
      </c>
      <c r="U22" s="96">
        <f t="shared" si="18"/>
        <v>23.774373351259122</v>
      </c>
      <c r="V22" s="97">
        <f t="shared" si="5"/>
        <v>414.48072007679684</v>
      </c>
      <c r="W22" s="71">
        <f t="shared" si="6"/>
        <v>390.70634672553774</v>
      </c>
      <c r="X22" s="64">
        <f t="shared" si="19"/>
        <v>205.70634672553774</v>
      </c>
      <c r="Y22" s="98">
        <f t="shared" si="22"/>
        <v>-2.4894253580412169</v>
      </c>
      <c r="Z22" s="99">
        <f t="shared" si="7"/>
        <v>0.94275299545383306</v>
      </c>
      <c r="AA22" s="19">
        <f t="shared" si="8"/>
        <v>0</v>
      </c>
      <c r="AB22" s="100">
        <f t="shared" si="9"/>
        <v>23.774373351259122</v>
      </c>
      <c r="AC22" s="60"/>
    </row>
    <row r="23" spans="2:29" x14ac:dyDescent="0.25">
      <c r="B23" s="30">
        <v>14.5</v>
      </c>
      <c r="C23" s="2">
        <f t="shared" si="10"/>
        <v>8.8017543859649123</v>
      </c>
      <c r="D23" s="19">
        <f t="shared" si="26"/>
        <v>0.70175438596491091</v>
      </c>
      <c r="E23" s="20">
        <f t="shared" si="25"/>
        <v>5.8479532163742576E-2</v>
      </c>
      <c r="F23" s="19">
        <f t="shared" ref="F23:F54" si="27">0.0138*G$6*(B23-C$4)+G$7</f>
        <v>3.4319999999999996E-2</v>
      </c>
      <c r="G23" s="21">
        <f t="shared" si="13"/>
        <v>9.2799532163742565E-2</v>
      </c>
      <c r="I23" s="54">
        <f t="shared" si="20"/>
        <v>12</v>
      </c>
      <c r="J23" s="95">
        <f t="shared" si="20"/>
        <v>39605</v>
      </c>
      <c r="K23" s="9">
        <f t="shared" si="0"/>
        <v>-1</v>
      </c>
      <c r="L23" s="102">
        <f t="shared" si="14"/>
        <v>45</v>
      </c>
      <c r="M23" s="2">
        <f t="shared" si="21"/>
        <v>0</v>
      </c>
      <c r="N23" s="71">
        <f t="shared" si="1"/>
        <v>405</v>
      </c>
      <c r="O23" s="9">
        <f t="shared" si="2"/>
        <v>0</v>
      </c>
      <c r="P23" s="2">
        <f t="shared" si="15"/>
        <v>20</v>
      </c>
      <c r="Q23" s="96">
        <f t="shared" si="16"/>
        <v>0.14057999999999998</v>
      </c>
      <c r="R23" s="6">
        <f>R22*(1-R$10)</f>
        <v>82.481663295282573</v>
      </c>
      <c r="S23" s="96">
        <f t="shared" si="3"/>
        <v>11.595272226050822</v>
      </c>
      <c r="T23" s="96">
        <f t="shared" si="4"/>
        <v>12.591683523587136</v>
      </c>
      <c r="U23" s="96">
        <f t="shared" si="18"/>
        <v>24.18695574963796</v>
      </c>
      <c r="V23" s="97">
        <f t="shared" si="5"/>
        <v>412.40831647641289</v>
      </c>
      <c r="W23" s="71">
        <f t="shared" si="6"/>
        <v>388.22136072677495</v>
      </c>
      <c r="X23" s="64">
        <f t="shared" si="19"/>
        <v>203.22136072677495</v>
      </c>
      <c r="Y23" s="98">
        <f t="shared" si="22"/>
        <v>-2.4849859987627951</v>
      </c>
      <c r="Z23" s="99">
        <f t="shared" si="7"/>
        <v>0.9313642948556925</v>
      </c>
      <c r="AA23" s="19">
        <f t="shared" si="8"/>
        <v>0</v>
      </c>
      <c r="AB23" s="100">
        <f t="shared" si="9"/>
        <v>24.18695574963796</v>
      </c>
      <c r="AC23" s="60"/>
    </row>
    <row r="24" spans="2:29" x14ac:dyDescent="0.25">
      <c r="B24" s="30">
        <v>15</v>
      </c>
      <c r="C24" s="2">
        <f t="shared" si="10"/>
        <v>9.1588235294117641</v>
      </c>
      <c r="D24" s="19">
        <f t="shared" si="26"/>
        <v>1.0588235294117627</v>
      </c>
      <c r="E24" s="20">
        <f t="shared" si="25"/>
        <v>8.8235294117646898E-2</v>
      </c>
      <c r="F24" s="19">
        <f t="shared" si="27"/>
        <v>4.3979999999999991E-2</v>
      </c>
      <c r="G24" s="21">
        <f t="shared" si="13"/>
        <v>0.13221529411764688</v>
      </c>
      <c r="I24" s="54">
        <f t="shared" si="20"/>
        <v>13</v>
      </c>
      <c r="J24" s="104">
        <f t="shared" si="20"/>
        <v>39606</v>
      </c>
      <c r="K24" s="197">
        <v>0</v>
      </c>
      <c r="L24" s="198">
        <f t="shared" si="14"/>
        <v>45</v>
      </c>
      <c r="M24" s="198">
        <f t="shared" si="21"/>
        <v>0</v>
      </c>
      <c r="N24" s="199">
        <f t="shared" si="1"/>
        <v>405</v>
      </c>
      <c r="O24" s="197">
        <f t="shared" si="2"/>
        <v>0</v>
      </c>
      <c r="P24" s="198">
        <f t="shared" si="15"/>
        <v>19</v>
      </c>
      <c r="Q24" s="200">
        <f t="shared" si="16"/>
        <v>0.12125999999999998</v>
      </c>
      <c r="R24" s="201">
        <f t="shared" si="24"/>
        <v>82.069254978806157</v>
      </c>
      <c r="S24" s="200">
        <f t="shared" si="3"/>
        <v>9.9517178587300332</v>
      </c>
      <c r="T24" s="200">
        <f t="shared" si="4"/>
        <v>14.653725105969215</v>
      </c>
      <c r="U24" s="200">
        <f t="shared" si="18"/>
        <v>24.60544296469925</v>
      </c>
      <c r="V24" s="202">
        <f t="shared" si="5"/>
        <v>410.34627489403078</v>
      </c>
      <c r="W24" s="199">
        <f t="shared" si="6"/>
        <v>385.74083192933153</v>
      </c>
      <c r="X24" s="216">
        <f t="shared" si="19"/>
        <v>200.74083192933153</v>
      </c>
      <c r="Y24" s="116">
        <f t="shared" si="22"/>
        <v>-2.4805287974434123</v>
      </c>
      <c r="Z24" s="203">
        <f t="shared" si="7"/>
        <v>0.91999602162871497</v>
      </c>
      <c r="AA24" s="204">
        <f t="shared" si="8"/>
        <v>0</v>
      </c>
      <c r="AB24" s="205">
        <f t="shared" si="9"/>
        <v>24.60544296469925</v>
      </c>
      <c r="AC24" s="60"/>
    </row>
    <row r="25" spans="2:29" x14ac:dyDescent="0.25">
      <c r="B25" s="30">
        <v>15.5</v>
      </c>
      <c r="C25" s="2">
        <f t="shared" si="10"/>
        <v>9.5201183431952661</v>
      </c>
      <c r="D25" s="19">
        <f t="shared" si="26"/>
        <v>1.4201183431952646</v>
      </c>
      <c r="E25" s="20">
        <f t="shared" si="25"/>
        <v>0.11834319526627206</v>
      </c>
      <c r="F25" s="19">
        <f t="shared" si="27"/>
        <v>5.3639999999999993E-2</v>
      </c>
      <c r="G25" s="21">
        <f t="shared" si="13"/>
        <v>0.17198319526627204</v>
      </c>
      <c r="I25" s="54">
        <f t="shared" si="20"/>
        <v>14</v>
      </c>
      <c r="J25" s="95">
        <f t="shared" si="20"/>
        <v>39607</v>
      </c>
      <c r="K25" s="9">
        <f>K24+1</f>
        <v>1</v>
      </c>
      <c r="L25" s="2">
        <f>L24*(1-L$10)</f>
        <v>43.964999999999996</v>
      </c>
      <c r="M25" s="2">
        <f t="shared" ref="M25:M53" si="28">M24+M$10</f>
        <v>1</v>
      </c>
      <c r="N25" s="71">
        <f t="shared" si="1"/>
        <v>395.68499999999995</v>
      </c>
      <c r="O25" s="71">
        <f t="shared" si="2"/>
        <v>9</v>
      </c>
      <c r="P25" s="2">
        <f t="shared" si="15"/>
        <v>18</v>
      </c>
      <c r="Q25" s="96">
        <f t="shared" si="16"/>
        <v>0.10193999999999999</v>
      </c>
      <c r="R25" s="6">
        <f t="shared" si="24"/>
        <v>81.658908703912132</v>
      </c>
      <c r="S25" s="96">
        <f t="shared" si="3"/>
        <v>8.3243091532768023</v>
      </c>
      <c r="T25" s="96">
        <f t="shared" si="4"/>
        <v>16.705456480439338</v>
      </c>
      <c r="U25" s="96">
        <f t="shared" si="18"/>
        <v>25.029765633716138</v>
      </c>
      <c r="V25" s="97">
        <f t="shared" si="5"/>
        <v>408.29454351956065</v>
      </c>
      <c r="W25" s="71">
        <f t="shared" si="6"/>
        <v>383.26477788584452</v>
      </c>
      <c r="X25" s="64">
        <f t="shared" si="19"/>
        <v>188.94977788584447</v>
      </c>
      <c r="Y25" s="98">
        <f t="shared" si="22"/>
        <v>-11.791054043487065</v>
      </c>
      <c r="Z25" s="99">
        <f t="shared" si="7"/>
        <v>0.86595757460944545</v>
      </c>
      <c r="AA25" s="19">
        <f t="shared" si="8"/>
        <v>9.3150000000000546</v>
      </c>
      <c r="AB25" s="100">
        <f t="shared" si="9"/>
        <v>34.344765633716193</v>
      </c>
      <c r="AC25" s="60"/>
    </row>
    <row r="26" spans="2:29" x14ac:dyDescent="0.25">
      <c r="B26" s="30">
        <v>16</v>
      </c>
      <c r="C26" s="2">
        <f t="shared" si="10"/>
        <v>9.8857142857142861</v>
      </c>
      <c r="D26" s="19">
        <f t="shared" si="26"/>
        <v>1.7857142857142847</v>
      </c>
      <c r="E26" s="20">
        <f t="shared" si="25"/>
        <v>0.14880952380952372</v>
      </c>
      <c r="F26" s="19">
        <f t="shared" si="27"/>
        <v>6.3299999999999995E-2</v>
      </c>
      <c r="G26" s="21">
        <f t="shared" si="13"/>
        <v>0.21210952380952372</v>
      </c>
      <c r="I26" s="54">
        <f t="shared" si="20"/>
        <v>15</v>
      </c>
      <c r="J26" s="95">
        <f t="shared" si="20"/>
        <v>39608</v>
      </c>
      <c r="K26" s="9">
        <f t="shared" si="20"/>
        <v>2</v>
      </c>
      <c r="L26" s="2">
        <f t="shared" ref="L26:L53" si="29">L25*(1-L$10)</f>
        <v>42.953804999999996</v>
      </c>
      <c r="M26" s="2">
        <f t="shared" si="28"/>
        <v>2</v>
      </c>
      <c r="N26" s="71">
        <f t="shared" si="1"/>
        <v>386.58424499999995</v>
      </c>
      <c r="O26" s="9">
        <f t="shared" si="2"/>
        <v>18</v>
      </c>
      <c r="P26" s="2">
        <f t="shared" si="15"/>
        <v>17</v>
      </c>
      <c r="Q26" s="96">
        <f t="shared" si="16"/>
        <v>8.2619999999999985E-2</v>
      </c>
      <c r="R26" s="6">
        <f t="shared" si="24"/>
        <v>81.250614160392573</v>
      </c>
      <c r="S26" s="96">
        <f t="shared" si="3"/>
        <v>6.7129257419316328</v>
      </c>
      <c r="T26" s="96">
        <f t="shared" si="4"/>
        <v>18.746929198037137</v>
      </c>
      <c r="U26" s="96">
        <f t="shared" si="18"/>
        <v>25.459854939968771</v>
      </c>
      <c r="V26" s="97">
        <f t="shared" si="5"/>
        <v>406.25307080196285</v>
      </c>
      <c r="W26" s="71">
        <f t="shared" si="6"/>
        <v>380.7932158619941</v>
      </c>
      <c r="X26" s="64">
        <f t="shared" si="19"/>
        <v>177.377460861994</v>
      </c>
      <c r="Y26" s="98">
        <f t="shared" si="22"/>
        <v>-11.572317023850474</v>
      </c>
      <c r="Z26" s="99">
        <f t="shared" si="7"/>
        <v>0.81292160021079074</v>
      </c>
      <c r="AA26" s="19">
        <f t="shared" si="8"/>
        <v>18.415755000000047</v>
      </c>
      <c r="AB26" s="100">
        <f t="shared" si="9"/>
        <v>43.875609939968818</v>
      </c>
      <c r="AC26" s="60"/>
    </row>
    <row r="27" spans="2:29" x14ac:dyDescent="0.25">
      <c r="B27" s="30">
        <f>B26+0.5</f>
        <v>16.5</v>
      </c>
      <c r="C27" s="2">
        <f t="shared" si="10"/>
        <v>10.255688622754491</v>
      </c>
      <c r="D27" s="19">
        <f t="shared" si="26"/>
        <v>2.1556886227544894</v>
      </c>
      <c r="E27" s="20">
        <f>G$4*D27/C$5</f>
        <v>0.17964071856287411</v>
      </c>
      <c r="F27" s="19">
        <f t="shared" si="27"/>
        <v>7.2959999999999997E-2</v>
      </c>
      <c r="G27" s="21">
        <f>E27+F27</f>
        <v>0.25260071856287414</v>
      </c>
      <c r="I27" s="54">
        <f t="shared" si="20"/>
        <v>16</v>
      </c>
      <c r="J27" s="95">
        <f t="shared" si="20"/>
        <v>39609</v>
      </c>
      <c r="K27" s="9">
        <f t="shared" si="20"/>
        <v>3</v>
      </c>
      <c r="L27" s="2">
        <f t="shared" si="29"/>
        <v>41.965867484999997</v>
      </c>
      <c r="M27" s="2">
        <f t="shared" si="28"/>
        <v>3</v>
      </c>
      <c r="N27" s="71">
        <f t="shared" si="1"/>
        <v>377.69280736499996</v>
      </c>
      <c r="O27" s="9">
        <f t="shared" si="2"/>
        <v>27</v>
      </c>
      <c r="P27" s="2">
        <f t="shared" si="15"/>
        <v>16</v>
      </c>
      <c r="Q27" s="96">
        <f t="shared" si="16"/>
        <v>6.3299999999999995E-2</v>
      </c>
      <c r="R27" s="6">
        <f t="shared" si="24"/>
        <v>80.844361089590606</v>
      </c>
      <c r="S27" s="96">
        <f t="shared" si="3"/>
        <v>5.1174480569710852</v>
      </c>
      <c r="T27" s="96">
        <f t="shared" si="4"/>
        <v>20.778194552046969</v>
      </c>
      <c r="U27" s="96">
        <f t="shared" si="18"/>
        <v>25.895642609018054</v>
      </c>
      <c r="V27" s="97">
        <f t="shared" si="5"/>
        <v>404.22180544795305</v>
      </c>
      <c r="W27" s="71">
        <f t="shared" si="6"/>
        <v>378.32616283893498</v>
      </c>
      <c r="X27" s="64">
        <f t="shared" si="19"/>
        <v>166.01897020393494</v>
      </c>
      <c r="Y27" s="98">
        <f t="shared" si="22"/>
        <v>-11.358490658059054</v>
      </c>
      <c r="Z27" s="99">
        <f t="shared" si="7"/>
        <v>0.76086559288687972</v>
      </c>
      <c r="AA27" s="19">
        <f t="shared" si="8"/>
        <v>27.307192635000035</v>
      </c>
      <c r="AB27" s="100">
        <f t="shared" si="9"/>
        <v>53.20283524401809</v>
      </c>
      <c r="AC27" s="60"/>
    </row>
    <row r="28" spans="2:29" x14ac:dyDescent="0.25">
      <c r="B28" s="30">
        <f t="shared" ref="B28:B54" si="30">B27+0.5</f>
        <v>17</v>
      </c>
      <c r="C28" s="2">
        <f t="shared" si="10"/>
        <v>10.630120481927712</v>
      </c>
      <c r="D28" s="19">
        <f t="shared" si="26"/>
        <v>2.5301204819277103</v>
      </c>
      <c r="E28" s="20">
        <f t="shared" ref="E28:E54" si="31">G$4*D28/C$5</f>
        <v>0.21084337349397586</v>
      </c>
      <c r="F28" s="19">
        <f t="shared" si="27"/>
        <v>8.2619999999999985E-2</v>
      </c>
      <c r="G28" s="21">
        <f t="shared" ref="G28:G54" si="32">E28+F28</f>
        <v>0.29346337349397583</v>
      </c>
      <c r="I28" s="54">
        <f t="shared" si="20"/>
        <v>17</v>
      </c>
      <c r="J28" s="95">
        <f t="shared" si="20"/>
        <v>39610</v>
      </c>
      <c r="K28" s="9">
        <f t="shared" si="20"/>
        <v>4</v>
      </c>
      <c r="L28" s="2">
        <f t="shared" si="29"/>
        <v>41.000652532844995</v>
      </c>
      <c r="M28" s="2">
        <f t="shared" si="28"/>
        <v>4</v>
      </c>
      <c r="N28" s="71">
        <f t="shared" si="1"/>
        <v>369.00587279560494</v>
      </c>
      <c r="O28" s="9">
        <f t="shared" si="2"/>
        <v>36</v>
      </c>
      <c r="P28" s="2">
        <f t="shared" si="15"/>
        <v>15</v>
      </c>
      <c r="Q28" s="96">
        <f t="shared" si="16"/>
        <v>4.3979999999999991E-2</v>
      </c>
      <c r="R28" s="6">
        <f t="shared" si="24"/>
        <v>80.440139284142646</v>
      </c>
      <c r="S28" s="96">
        <f t="shared" si="3"/>
        <v>3.5377573257165928</v>
      </c>
      <c r="T28" s="96">
        <f t="shared" si="4"/>
        <v>22.799303579286772</v>
      </c>
      <c r="U28" s="96">
        <f t="shared" si="18"/>
        <v>26.337060905003366</v>
      </c>
      <c r="V28" s="97">
        <f t="shared" si="5"/>
        <v>402.20069642071326</v>
      </c>
      <c r="W28" s="71">
        <f t="shared" si="6"/>
        <v>375.86363551570992</v>
      </c>
      <c r="X28" s="64">
        <f t="shared" si="19"/>
        <v>154.8695083113148</v>
      </c>
      <c r="Y28" s="98">
        <f t="shared" si="22"/>
        <v>-11.149461892620138</v>
      </c>
      <c r="Z28" s="99">
        <f t="shared" si="7"/>
        <v>0.70976756521644291</v>
      </c>
      <c r="AA28" s="19">
        <f t="shared" si="8"/>
        <v>35.994127204395056</v>
      </c>
      <c r="AB28" s="100">
        <f t="shared" si="9"/>
        <v>62.331188109398425</v>
      </c>
      <c r="AC28" s="60"/>
    </row>
    <row r="29" spans="2:29" x14ac:dyDescent="0.25">
      <c r="B29" s="30">
        <f t="shared" si="30"/>
        <v>17.5</v>
      </c>
      <c r="C29" s="2">
        <f t="shared" si="10"/>
        <v>11.00909090909091</v>
      </c>
      <c r="D29" s="19">
        <f t="shared" si="26"/>
        <v>2.9090909090909083</v>
      </c>
      <c r="E29" s="20">
        <f t="shared" si="31"/>
        <v>0.24242424242424235</v>
      </c>
      <c r="F29" s="19">
        <f t="shared" si="27"/>
        <v>9.2279999999999987E-2</v>
      </c>
      <c r="G29" s="21">
        <f t="shared" si="32"/>
        <v>0.33470424242424235</v>
      </c>
      <c r="I29" s="54">
        <f t="shared" si="20"/>
        <v>18</v>
      </c>
      <c r="J29" s="101">
        <f t="shared" si="20"/>
        <v>39611</v>
      </c>
      <c r="K29" s="9">
        <f t="shared" si="20"/>
        <v>5</v>
      </c>
      <c r="L29" s="2">
        <f t="shared" si="29"/>
        <v>40.057637524589559</v>
      </c>
      <c r="M29" s="2">
        <f t="shared" si="28"/>
        <v>5</v>
      </c>
      <c r="N29" s="71">
        <f t="shared" si="1"/>
        <v>360.51873772130602</v>
      </c>
      <c r="O29" s="9">
        <f t="shared" si="2"/>
        <v>45</v>
      </c>
      <c r="P29" s="2">
        <f t="shared" si="15"/>
        <v>14</v>
      </c>
      <c r="Q29" s="96">
        <f t="shared" si="16"/>
        <v>2.4659999999999998E-2</v>
      </c>
      <c r="R29" s="6">
        <f t="shared" si="24"/>
        <v>80.037938587721939</v>
      </c>
      <c r="S29" s="96">
        <f t="shared" si="3"/>
        <v>1.9737355655732229</v>
      </c>
      <c r="T29" s="96">
        <f t="shared" si="4"/>
        <v>24.810307061390304</v>
      </c>
      <c r="U29" s="96">
        <f t="shared" si="18"/>
        <v>26.784042626963526</v>
      </c>
      <c r="V29" s="97">
        <f t="shared" si="5"/>
        <v>400.18969293860971</v>
      </c>
      <c r="W29" s="71">
        <f t="shared" si="6"/>
        <v>373.40565031164618</v>
      </c>
      <c r="X29" s="64">
        <f t="shared" si="19"/>
        <v>143.92438803295227</v>
      </c>
      <c r="Y29" s="98">
        <f t="shared" si="22"/>
        <v>-10.945120278362538</v>
      </c>
      <c r="Z29" s="99">
        <f t="shared" si="7"/>
        <v>0.65960603596719614</v>
      </c>
      <c r="AA29" s="19">
        <f t="shared" si="8"/>
        <v>44.481262278693976</v>
      </c>
      <c r="AB29" s="100">
        <f t="shared" si="9"/>
        <v>71.265304905657501</v>
      </c>
      <c r="AC29" s="60"/>
    </row>
    <row r="30" spans="2:29" x14ac:dyDescent="0.25">
      <c r="B30" s="30">
        <f t="shared" si="30"/>
        <v>18</v>
      </c>
      <c r="C30" s="2">
        <f t="shared" si="10"/>
        <v>11.392682926829266</v>
      </c>
      <c r="D30" s="19">
        <f t="shared" si="26"/>
        <v>3.292682926829265</v>
      </c>
      <c r="E30" s="20">
        <f t="shared" si="31"/>
        <v>0.27439024390243877</v>
      </c>
      <c r="F30" s="19">
        <f t="shared" si="27"/>
        <v>0.10193999999999999</v>
      </c>
      <c r="G30" s="21">
        <f t="shared" si="32"/>
        <v>0.37633024390243874</v>
      </c>
      <c r="I30" s="54">
        <f t="shared" si="20"/>
        <v>19</v>
      </c>
      <c r="J30" s="95">
        <f t="shared" si="20"/>
        <v>39612</v>
      </c>
      <c r="K30" s="9">
        <f t="shared" si="20"/>
        <v>6</v>
      </c>
      <c r="L30" s="2">
        <f t="shared" si="29"/>
        <v>39.136311861524</v>
      </c>
      <c r="M30" s="2">
        <f t="shared" si="28"/>
        <v>6</v>
      </c>
      <c r="N30" s="71">
        <f t="shared" si="1"/>
        <v>352.22680675371601</v>
      </c>
      <c r="O30" s="9">
        <f t="shared" si="2"/>
        <v>54</v>
      </c>
      <c r="P30" s="2">
        <f t="shared" si="15"/>
        <v>13</v>
      </c>
      <c r="Q30" s="96">
        <f>0.0138*$G$6*(P30-$C$4)+$G$7+E20</f>
        <v>3.407563218390814E-2</v>
      </c>
      <c r="R30" s="6">
        <f t="shared" si="24"/>
        <v>79.637748894783329</v>
      </c>
      <c r="S30" s="96">
        <f t="shared" si="3"/>
        <v>2.7137066392930738</v>
      </c>
      <c r="T30" s="96">
        <f t="shared" si="4"/>
        <v>26.811255526083357</v>
      </c>
      <c r="U30" s="96">
        <f t="shared" si="18"/>
        <v>29.524962165376429</v>
      </c>
      <c r="V30" s="97">
        <f t="shared" si="5"/>
        <v>398.18874447391664</v>
      </c>
      <c r="W30" s="71">
        <f t="shared" si="6"/>
        <v>368.66378230854019</v>
      </c>
      <c r="X30" s="64">
        <f t="shared" si="19"/>
        <v>130.89058906225614</v>
      </c>
      <c r="Y30" s="98">
        <f t="shared" si="22"/>
        <v>-13.033798970696125</v>
      </c>
      <c r="Z30" s="99">
        <f t="shared" si="7"/>
        <v>0.59987208406263204</v>
      </c>
      <c r="AA30" s="19">
        <f t="shared" si="8"/>
        <v>52.773193246283995</v>
      </c>
      <c r="AB30" s="100">
        <f t="shared" si="9"/>
        <v>82.298155411660417</v>
      </c>
      <c r="AC30" s="60"/>
    </row>
    <row r="31" spans="2:29" x14ac:dyDescent="0.25">
      <c r="B31" s="30">
        <f t="shared" si="30"/>
        <v>18.5</v>
      </c>
      <c r="C31" s="2">
        <f t="shared" si="10"/>
        <v>11.780981595092024</v>
      </c>
      <c r="D31" s="19">
        <f t="shared" si="26"/>
        <v>3.6809815950920228</v>
      </c>
      <c r="E31" s="20">
        <f t="shared" si="31"/>
        <v>0.30674846625766855</v>
      </c>
      <c r="F31" s="19">
        <f t="shared" si="27"/>
        <v>0.11159999999999999</v>
      </c>
      <c r="G31" s="21">
        <f t="shared" si="32"/>
        <v>0.41834846625766853</v>
      </c>
      <c r="I31" s="54">
        <f t="shared" si="20"/>
        <v>20</v>
      </c>
      <c r="J31" s="95">
        <f t="shared" si="20"/>
        <v>39613</v>
      </c>
      <c r="K31" s="117">
        <f t="shared" si="20"/>
        <v>7</v>
      </c>
      <c r="L31" s="118">
        <f t="shared" si="29"/>
        <v>38.236176688708944</v>
      </c>
      <c r="M31" s="118">
        <f t="shared" si="28"/>
        <v>7</v>
      </c>
      <c r="N31" s="119">
        <f t="shared" si="1"/>
        <v>344.12559019838051</v>
      </c>
      <c r="O31" s="117">
        <f t="shared" si="2"/>
        <v>63</v>
      </c>
      <c r="P31" s="118">
        <f t="shared" si="15"/>
        <v>12</v>
      </c>
      <c r="Q31" s="120">
        <f>-(0.0138*$G$6*(P31-$C$4)+$G$7)+E18</f>
        <v>9.9207272727272852E-2</v>
      </c>
      <c r="R31" s="121">
        <f t="shared" si="24"/>
        <v>79.239560150309416</v>
      </c>
      <c r="S31" s="120">
        <f t="shared" ref="S31:S38" si="33">Q31*R31</f>
        <v>7.861140654620888</v>
      </c>
      <c r="T31" s="120">
        <f t="shared" ref="T31:T38" si="34">(R$11-R31)*G$4</f>
        <v>28.802199248452922</v>
      </c>
      <c r="U31" s="120">
        <f t="shared" ref="U31:U38" si="35">S31+T31</f>
        <v>36.663339903073812</v>
      </c>
      <c r="V31" s="122">
        <f t="shared" ref="V31:V38" si="36">R31*G$4</f>
        <v>396.19780075154711</v>
      </c>
      <c r="W31" s="119">
        <f t="shared" ref="W31:W38" si="37">V31-U31</f>
        <v>359.53446084847332</v>
      </c>
      <c r="X31" s="216">
        <f t="shared" si="19"/>
        <v>113.66005104685382</v>
      </c>
      <c r="Y31" s="116">
        <f t="shared" ref="Y31:Y38" si="38">X31-X30</f>
        <v>-17.230538015402317</v>
      </c>
      <c r="Z31" s="123">
        <f t="shared" ref="Z31:Z38" si="39">X31/X$55</f>
        <v>0.52090446062330609</v>
      </c>
      <c r="AA31" s="124">
        <f t="shared" ref="AA31:AA38" si="40">N$17-N31</f>
        <v>60.874409801619493</v>
      </c>
      <c r="AB31" s="125">
        <f t="shared" ref="AB31:AB38" si="41">U31+AA31</f>
        <v>97.537749704693312</v>
      </c>
      <c r="AC31" s="60"/>
    </row>
    <row r="32" spans="2:29" x14ac:dyDescent="0.25">
      <c r="B32" s="30">
        <f t="shared" si="30"/>
        <v>19</v>
      </c>
      <c r="C32" s="2">
        <f t="shared" si="10"/>
        <v>12.174074074074074</v>
      </c>
      <c r="D32" s="19">
        <f t="shared" si="26"/>
        <v>4.0740740740740726</v>
      </c>
      <c r="E32" s="20">
        <f t="shared" si="31"/>
        <v>0.33950617283950607</v>
      </c>
      <c r="F32" s="19">
        <f t="shared" si="27"/>
        <v>0.12125999999999998</v>
      </c>
      <c r="G32" s="21">
        <f t="shared" si="32"/>
        <v>0.46076617283950605</v>
      </c>
      <c r="I32" s="54">
        <f t="shared" si="20"/>
        <v>21</v>
      </c>
      <c r="J32" s="104">
        <f t="shared" si="20"/>
        <v>39614</v>
      </c>
      <c r="K32" s="9">
        <f t="shared" si="20"/>
        <v>8</v>
      </c>
      <c r="L32" s="2">
        <f t="shared" si="29"/>
        <v>37.356744624868639</v>
      </c>
      <c r="M32" s="2">
        <f t="shared" si="28"/>
        <v>8</v>
      </c>
      <c r="N32" s="86">
        <f t="shared" si="1"/>
        <v>336.21070162381773</v>
      </c>
      <c r="O32" s="72">
        <f t="shared" si="2"/>
        <v>72</v>
      </c>
      <c r="P32" s="2">
        <f t="shared" si="15"/>
        <v>11</v>
      </c>
      <c r="Q32" s="115">
        <f t="shared" ref="Q32:Q38" si="42">-(0.0138*$G$6*(P32-$C$4)+$G$7)+E$16</f>
        <v>0.17374943820224734</v>
      </c>
      <c r="R32" s="6">
        <f t="shared" si="24"/>
        <v>78.843362349557864</v>
      </c>
      <c r="S32" s="96">
        <f t="shared" si="33"/>
        <v>13.698989914211898</v>
      </c>
      <c r="T32" s="96">
        <f t="shared" si="34"/>
        <v>30.783188252210678</v>
      </c>
      <c r="U32" s="96">
        <f t="shared" si="35"/>
        <v>44.482178166422578</v>
      </c>
      <c r="V32" s="97">
        <f t="shared" si="36"/>
        <v>394.21681174778934</v>
      </c>
      <c r="W32" s="71">
        <f t="shared" si="37"/>
        <v>349.73463358136678</v>
      </c>
      <c r="X32" s="64">
        <f t="shared" si="19"/>
        <v>95.945335205184506</v>
      </c>
      <c r="Y32" s="98">
        <f t="shared" si="38"/>
        <v>-17.714715841669317</v>
      </c>
      <c r="Z32" s="99">
        <f t="shared" si="39"/>
        <v>0.43971784830341554</v>
      </c>
      <c r="AA32" s="19">
        <f t="shared" si="40"/>
        <v>68.789298376182273</v>
      </c>
      <c r="AB32" s="100">
        <f t="shared" si="41"/>
        <v>113.27147654260486</v>
      </c>
      <c r="AC32" s="60"/>
    </row>
    <row r="33" spans="2:29" x14ac:dyDescent="0.25">
      <c r="B33" s="30">
        <f t="shared" si="30"/>
        <v>19.5</v>
      </c>
      <c r="C33" s="2">
        <f t="shared" si="10"/>
        <v>12.572049689440995</v>
      </c>
      <c r="D33" s="19">
        <f t="shared" si="26"/>
        <v>4.4720496894409933</v>
      </c>
      <c r="E33" s="20">
        <f t="shared" si="31"/>
        <v>0.37267080745341613</v>
      </c>
      <c r="F33" s="19">
        <f t="shared" si="27"/>
        <v>0.13091999999999998</v>
      </c>
      <c r="G33" s="21">
        <f t="shared" si="32"/>
        <v>0.50359080745341611</v>
      </c>
      <c r="I33" s="54">
        <f t="shared" si="20"/>
        <v>22</v>
      </c>
      <c r="J33" s="104">
        <f t="shared" si="20"/>
        <v>39615</v>
      </c>
      <c r="K33" s="72">
        <f t="shared" si="20"/>
        <v>9</v>
      </c>
      <c r="L33" s="196">
        <f t="shared" si="29"/>
        <v>36.497539498496657</v>
      </c>
      <c r="M33" s="196">
        <f t="shared" si="28"/>
        <v>9</v>
      </c>
      <c r="N33" s="86">
        <f t="shared" si="1"/>
        <v>328.47785548646993</v>
      </c>
      <c r="O33" s="87">
        <f t="shared" si="2"/>
        <v>81</v>
      </c>
      <c r="P33" s="2">
        <f t="shared" ref="P33:P38" si="43">P32</f>
        <v>11</v>
      </c>
      <c r="Q33" s="115">
        <f t="shared" si="42"/>
        <v>0.17374943820224734</v>
      </c>
      <c r="R33" s="6">
        <f t="shared" si="24"/>
        <v>78.449145537810068</v>
      </c>
      <c r="S33" s="96">
        <f t="shared" si="33"/>
        <v>13.630494964640837</v>
      </c>
      <c r="T33" s="96">
        <f t="shared" si="34"/>
        <v>32.754272310949659</v>
      </c>
      <c r="U33" s="96">
        <f t="shared" si="35"/>
        <v>46.384767275590498</v>
      </c>
      <c r="V33" s="97">
        <f t="shared" si="36"/>
        <v>392.24572768905034</v>
      </c>
      <c r="W33" s="71">
        <f t="shared" si="37"/>
        <v>345.86096041345985</v>
      </c>
      <c r="X33" s="64">
        <f t="shared" si="19"/>
        <v>84.338815899929841</v>
      </c>
      <c r="Y33" s="98">
        <f t="shared" si="38"/>
        <v>-11.606519305254665</v>
      </c>
      <c r="Z33" s="99">
        <f t="shared" si="39"/>
        <v>0.38652512471467293</v>
      </c>
      <c r="AA33" s="19">
        <f t="shared" si="40"/>
        <v>76.522144513530066</v>
      </c>
      <c r="AB33" s="100">
        <f t="shared" si="41"/>
        <v>122.90691178912056</v>
      </c>
      <c r="AC33" s="60"/>
    </row>
    <row r="34" spans="2:29" x14ac:dyDescent="0.25">
      <c r="B34" s="30">
        <f t="shared" si="30"/>
        <v>20</v>
      </c>
      <c r="C34" s="2">
        <f t="shared" si="10"/>
        <v>12.975</v>
      </c>
      <c r="D34" s="19">
        <f t="shared" si="26"/>
        <v>4.8749999999999982</v>
      </c>
      <c r="E34" s="20">
        <f t="shared" si="31"/>
        <v>0.40624999999999989</v>
      </c>
      <c r="F34" s="19">
        <f t="shared" si="27"/>
        <v>0.14057999999999998</v>
      </c>
      <c r="G34" s="21">
        <f t="shared" si="32"/>
        <v>0.54682999999999993</v>
      </c>
      <c r="I34" s="54">
        <f t="shared" si="20"/>
        <v>23</v>
      </c>
      <c r="J34" s="95">
        <f t="shared" si="20"/>
        <v>39616</v>
      </c>
      <c r="K34" s="9">
        <f t="shared" si="20"/>
        <v>10</v>
      </c>
      <c r="L34" s="2">
        <f t="shared" si="29"/>
        <v>35.658096090031236</v>
      </c>
      <c r="M34" s="2">
        <f t="shared" si="28"/>
        <v>10</v>
      </c>
      <c r="N34" s="71">
        <f t="shared" si="1"/>
        <v>320.92286481028111</v>
      </c>
      <c r="O34" s="9">
        <f t="shared" si="2"/>
        <v>90</v>
      </c>
      <c r="P34" s="2">
        <f t="shared" si="43"/>
        <v>11</v>
      </c>
      <c r="Q34" s="115">
        <f t="shared" si="42"/>
        <v>0.17374943820224734</v>
      </c>
      <c r="R34" s="6">
        <f t="shared" si="24"/>
        <v>78.056899810121024</v>
      </c>
      <c r="S34" s="96">
        <f t="shared" si="33"/>
        <v>13.562342489817635</v>
      </c>
      <c r="T34" s="96">
        <f t="shared" si="34"/>
        <v>34.71550094939488</v>
      </c>
      <c r="U34" s="96">
        <f t="shared" si="35"/>
        <v>48.277843439212518</v>
      </c>
      <c r="V34" s="97">
        <f t="shared" si="36"/>
        <v>390.28449905060512</v>
      </c>
      <c r="W34" s="71">
        <f t="shared" si="37"/>
        <v>342.0066556113926</v>
      </c>
      <c r="X34" s="64">
        <f t="shared" si="19"/>
        <v>72.929520421673715</v>
      </c>
      <c r="Y34" s="98">
        <f t="shared" si="38"/>
        <v>-11.409295478256126</v>
      </c>
      <c r="Z34" s="99">
        <f t="shared" si="39"/>
        <v>0.33423627870013961</v>
      </c>
      <c r="AA34" s="19">
        <f t="shared" si="40"/>
        <v>84.077135189718888</v>
      </c>
      <c r="AB34" s="100">
        <f t="shared" si="41"/>
        <v>132.35497862893141</v>
      </c>
      <c r="AC34" s="60"/>
    </row>
    <row r="35" spans="2:29" x14ac:dyDescent="0.25">
      <c r="B35" s="30">
        <f t="shared" si="30"/>
        <v>20.5</v>
      </c>
      <c r="C35" s="2">
        <f t="shared" si="10"/>
        <v>13.383018867924527</v>
      </c>
      <c r="D35" s="19">
        <f t="shared" si="26"/>
        <v>5.2830188679245254</v>
      </c>
      <c r="E35" s="20">
        <f t="shared" si="31"/>
        <v>0.44025157232704376</v>
      </c>
      <c r="F35" s="19">
        <f t="shared" si="27"/>
        <v>0.15023999999999998</v>
      </c>
      <c r="G35" s="21">
        <f t="shared" si="32"/>
        <v>0.59049157232704375</v>
      </c>
      <c r="I35" s="54">
        <f t="shared" si="20"/>
        <v>24</v>
      </c>
      <c r="J35" s="95">
        <f t="shared" si="20"/>
        <v>39617</v>
      </c>
      <c r="K35" s="9">
        <f t="shared" si="20"/>
        <v>11</v>
      </c>
      <c r="L35" s="2">
        <f t="shared" si="29"/>
        <v>34.837959879960515</v>
      </c>
      <c r="M35" s="2">
        <f t="shared" si="28"/>
        <v>11</v>
      </c>
      <c r="N35" s="71">
        <f t="shared" si="1"/>
        <v>313.54163891964464</v>
      </c>
      <c r="O35" s="9">
        <f t="shared" si="2"/>
        <v>99</v>
      </c>
      <c r="P35" s="2">
        <f t="shared" si="43"/>
        <v>11</v>
      </c>
      <c r="Q35" s="115">
        <f t="shared" si="42"/>
        <v>0.17374943820224734</v>
      </c>
      <c r="R35" s="6">
        <f t="shared" si="24"/>
        <v>77.666615311070416</v>
      </c>
      <c r="S35" s="96">
        <f t="shared" si="33"/>
        <v>13.494530777368546</v>
      </c>
      <c r="T35" s="96">
        <f t="shared" si="34"/>
        <v>36.666923444647921</v>
      </c>
      <c r="U35" s="96">
        <f t="shared" si="35"/>
        <v>50.161454222016467</v>
      </c>
      <c r="V35" s="97">
        <f t="shared" si="36"/>
        <v>388.33307655535208</v>
      </c>
      <c r="W35" s="71">
        <f t="shared" si="37"/>
        <v>338.17162233333562</v>
      </c>
      <c r="X35" s="64">
        <f t="shared" si="19"/>
        <v>61.71326125298026</v>
      </c>
      <c r="Y35" s="98">
        <f t="shared" si="38"/>
        <v>-11.216259168693455</v>
      </c>
      <c r="Z35" s="99">
        <f t="shared" si="39"/>
        <v>0.28283211885095044</v>
      </c>
      <c r="AA35" s="19">
        <f t="shared" si="40"/>
        <v>91.45836108035536</v>
      </c>
      <c r="AB35" s="100">
        <f t="shared" si="41"/>
        <v>141.61981530237182</v>
      </c>
      <c r="AC35" s="60"/>
    </row>
    <row r="36" spans="2:29" x14ac:dyDescent="0.25">
      <c r="B36" s="30">
        <f t="shared" si="30"/>
        <v>21</v>
      </c>
      <c r="C36" s="2">
        <f t="shared" si="10"/>
        <v>13.796202531645568</v>
      </c>
      <c r="D36" s="19">
        <f t="shared" si="26"/>
        <v>5.6962025316455662</v>
      </c>
      <c r="E36" s="20">
        <f t="shared" si="31"/>
        <v>0.47468354430379722</v>
      </c>
      <c r="F36" s="19">
        <f t="shared" si="27"/>
        <v>0.15989999999999999</v>
      </c>
      <c r="G36" s="21">
        <f t="shared" si="32"/>
        <v>0.63458354430379726</v>
      </c>
      <c r="I36" s="54">
        <f t="shared" si="20"/>
        <v>25</v>
      </c>
      <c r="J36" s="95">
        <f t="shared" si="20"/>
        <v>39618</v>
      </c>
      <c r="K36" s="9">
        <f t="shared" si="20"/>
        <v>12</v>
      </c>
      <c r="L36" s="2">
        <f t="shared" si="29"/>
        <v>34.03668680272142</v>
      </c>
      <c r="M36" s="2">
        <f t="shared" si="28"/>
        <v>12</v>
      </c>
      <c r="N36" s="71">
        <f t="shared" si="1"/>
        <v>306.33018122449278</v>
      </c>
      <c r="O36" s="9">
        <f t="shared" si="2"/>
        <v>108</v>
      </c>
      <c r="P36" s="2">
        <f t="shared" si="43"/>
        <v>11</v>
      </c>
      <c r="Q36" s="115">
        <f t="shared" si="42"/>
        <v>0.17374943820224734</v>
      </c>
      <c r="R36" s="6">
        <f t="shared" si="24"/>
        <v>77.278282234515061</v>
      </c>
      <c r="S36" s="96">
        <f t="shared" si="33"/>
        <v>13.427058123481702</v>
      </c>
      <c r="T36" s="96">
        <f t="shared" si="34"/>
        <v>38.608588827424697</v>
      </c>
      <c r="U36" s="96">
        <f t="shared" si="35"/>
        <v>52.035646950906397</v>
      </c>
      <c r="V36" s="97">
        <f t="shared" si="36"/>
        <v>386.39141117257532</v>
      </c>
      <c r="W36" s="71">
        <f t="shared" si="37"/>
        <v>334.35576422166889</v>
      </c>
      <c r="X36" s="64">
        <f t="shared" si="19"/>
        <v>50.685945446161668</v>
      </c>
      <c r="Y36" s="98">
        <f t="shared" si="38"/>
        <v>-11.027315806818592</v>
      </c>
      <c r="Z36" s="99">
        <f t="shared" si="39"/>
        <v>0.23229388717176719</v>
      </c>
      <c r="AA36" s="19">
        <f t="shared" si="40"/>
        <v>98.669818775507224</v>
      </c>
      <c r="AB36" s="100">
        <f t="shared" si="41"/>
        <v>150.70546572641362</v>
      </c>
      <c r="AC36" s="60"/>
    </row>
    <row r="37" spans="2:29" x14ac:dyDescent="0.25">
      <c r="B37" s="30">
        <f t="shared" si="30"/>
        <v>21.5</v>
      </c>
      <c r="C37" s="2">
        <f t="shared" si="10"/>
        <v>14.214649681528662</v>
      </c>
      <c r="D37" s="19">
        <f t="shared" si="26"/>
        <v>6.1146496815286611</v>
      </c>
      <c r="E37" s="20">
        <f t="shared" si="31"/>
        <v>0.50955414012738842</v>
      </c>
      <c r="F37" s="19">
        <f t="shared" si="27"/>
        <v>0.16955999999999999</v>
      </c>
      <c r="G37" s="21">
        <f t="shared" si="32"/>
        <v>0.67911414012738835</v>
      </c>
      <c r="I37" s="54">
        <f t="shared" si="20"/>
        <v>26</v>
      </c>
      <c r="J37" s="95">
        <f t="shared" si="20"/>
        <v>39619</v>
      </c>
      <c r="K37" s="9">
        <f t="shared" si="20"/>
        <v>13</v>
      </c>
      <c r="L37" s="2">
        <f t="shared" si="29"/>
        <v>33.253843006258826</v>
      </c>
      <c r="M37" s="2">
        <f t="shared" si="28"/>
        <v>13</v>
      </c>
      <c r="N37" s="71">
        <f t="shared" si="1"/>
        <v>299.28458705632943</v>
      </c>
      <c r="O37" s="9">
        <f t="shared" si="2"/>
        <v>117</v>
      </c>
      <c r="P37" s="2">
        <f t="shared" si="43"/>
        <v>11</v>
      </c>
      <c r="Q37" s="115">
        <f t="shared" si="42"/>
        <v>0.17374943820224734</v>
      </c>
      <c r="R37" s="6">
        <f t="shared" si="24"/>
        <v>76.891890823342479</v>
      </c>
      <c r="S37" s="96">
        <f t="shared" si="33"/>
        <v>13.359922832864292</v>
      </c>
      <c r="T37" s="96">
        <f t="shared" si="34"/>
        <v>40.540545883287606</v>
      </c>
      <c r="U37" s="96">
        <f t="shared" si="35"/>
        <v>53.900468716151899</v>
      </c>
      <c r="V37" s="97">
        <f t="shared" si="36"/>
        <v>384.45945411671238</v>
      </c>
      <c r="W37" s="71">
        <f t="shared" si="37"/>
        <v>330.55898540056046</v>
      </c>
      <c r="X37" s="64">
        <f t="shared" si="19"/>
        <v>39.843572456889888</v>
      </c>
      <c r="Y37" s="98">
        <f t="shared" si="38"/>
        <v>-10.84237298927178</v>
      </c>
      <c r="Z37" s="99">
        <f t="shared" si="39"/>
        <v>0.18260324915221252</v>
      </c>
      <c r="AA37" s="19">
        <f t="shared" si="40"/>
        <v>105.71541294367057</v>
      </c>
      <c r="AB37" s="100">
        <f t="shared" si="41"/>
        <v>159.61588165982246</v>
      </c>
      <c r="AC37" s="60"/>
    </row>
    <row r="38" spans="2:29" x14ac:dyDescent="0.25">
      <c r="B38" s="30">
        <f t="shared" si="30"/>
        <v>22</v>
      </c>
      <c r="C38" s="2">
        <f t="shared" si="10"/>
        <v>14.638461538461536</v>
      </c>
      <c r="D38" s="19">
        <f t="shared" si="26"/>
        <v>6.5384615384615348</v>
      </c>
      <c r="E38" s="20">
        <f t="shared" si="31"/>
        <v>0.54487179487179449</v>
      </c>
      <c r="F38" s="19">
        <f t="shared" si="27"/>
        <v>0.17921999999999999</v>
      </c>
      <c r="G38" s="21">
        <f t="shared" si="32"/>
        <v>0.72409179487179443</v>
      </c>
      <c r="I38" s="54">
        <f t="shared" si="20"/>
        <v>27</v>
      </c>
      <c r="J38" s="105">
        <f t="shared" si="20"/>
        <v>39620</v>
      </c>
      <c r="K38" s="126">
        <f t="shared" si="20"/>
        <v>14</v>
      </c>
      <c r="L38" s="118">
        <f t="shared" si="29"/>
        <v>32.489004617114873</v>
      </c>
      <c r="M38" s="127">
        <f t="shared" si="28"/>
        <v>14</v>
      </c>
      <c r="N38" s="128">
        <f t="shared" si="1"/>
        <v>292.40104155403384</v>
      </c>
      <c r="O38" s="126">
        <f t="shared" si="2"/>
        <v>126</v>
      </c>
      <c r="P38" s="118">
        <f t="shared" si="43"/>
        <v>11</v>
      </c>
      <c r="Q38" s="120">
        <f t="shared" si="42"/>
        <v>0.17374943820224734</v>
      </c>
      <c r="R38" s="121">
        <f t="shared" si="24"/>
        <v>76.50743136922577</v>
      </c>
      <c r="S38" s="120">
        <f t="shared" si="33"/>
        <v>13.293123218699971</v>
      </c>
      <c r="T38" s="120">
        <f t="shared" si="34"/>
        <v>42.462843153871148</v>
      </c>
      <c r="U38" s="120">
        <f t="shared" si="35"/>
        <v>55.755966372571123</v>
      </c>
      <c r="V38" s="122">
        <f t="shared" si="36"/>
        <v>382.53715684612882</v>
      </c>
      <c r="W38" s="119">
        <f t="shared" si="37"/>
        <v>326.78119047355767</v>
      </c>
      <c r="X38" s="216">
        <f t="shared" si="19"/>
        <v>29.182232027591454</v>
      </c>
      <c r="Y38" s="116">
        <f t="shared" si="38"/>
        <v>-10.661340429298434</v>
      </c>
      <c r="Z38" s="123">
        <f t="shared" si="39"/>
        <v>0.13374228406646022</v>
      </c>
      <c r="AA38" s="124">
        <f t="shared" si="40"/>
        <v>112.59895844596616</v>
      </c>
      <c r="AB38" s="125">
        <f t="shared" si="41"/>
        <v>168.35492481853728</v>
      </c>
      <c r="AC38" s="60"/>
    </row>
    <row r="39" spans="2:29" x14ac:dyDescent="0.25">
      <c r="B39" s="30">
        <f t="shared" si="30"/>
        <v>22.5</v>
      </c>
      <c r="C39" s="2">
        <f t="shared" si="10"/>
        <v>15.067741935483872</v>
      </c>
      <c r="D39" s="19">
        <f t="shared" si="26"/>
        <v>6.9677419354838701</v>
      </c>
      <c r="E39" s="20">
        <f t="shared" si="31"/>
        <v>0.58064516129032251</v>
      </c>
      <c r="F39" s="19">
        <f t="shared" si="27"/>
        <v>0.18887999999999999</v>
      </c>
      <c r="G39" s="21">
        <f t="shared" si="32"/>
        <v>0.76952516129032245</v>
      </c>
      <c r="I39" s="54">
        <f t="shared" si="20"/>
        <v>28</v>
      </c>
      <c r="J39" s="32">
        <f t="shared" si="20"/>
        <v>39621</v>
      </c>
      <c r="K39" s="9">
        <f t="shared" si="20"/>
        <v>15</v>
      </c>
      <c r="L39" s="2">
        <f t="shared" si="29"/>
        <v>31.741757510921229</v>
      </c>
      <c r="M39" s="6">
        <f t="shared" si="28"/>
        <v>15</v>
      </c>
      <c r="N39" s="71">
        <f t="shared" si="1"/>
        <v>285.67581759829108</v>
      </c>
      <c r="O39" s="9">
        <f t="shared" si="2"/>
        <v>135</v>
      </c>
      <c r="P39" s="6">
        <f t="shared" ref="P39:P53" si="44">P38</f>
        <v>11</v>
      </c>
      <c r="Q39" s="115">
        <f t="shared" ref="Q39:Q53" si="45">-(0.0138*$G$6*(P39-$C$4)+$G$7)+E$16</f>
        <v>0.17374943820224734</v>
      </c>
      <c r="R39" s="6">
        <f t="shared" si="24"/>
        <v>76.124894212379644</v>
      </c>
      <c r="S39" s="7">
        <f t="shared" si="3"/>
        <v>13.226657602606473</v>
      </c>
      <c r="T39" s="7">
        <f t="shared" si="4"/>
        <v>44.37552893810178</v>
      </c>
      <c r="U39" s="7">
        <f t="shared" si="18"/>
        <v>57.602186540708253</v>
      </c>
      <c r="V39" s="64">
        <f t="shared" si="5"/>
        <v>380.62447106189825</v>
      </c>
      <c r="W39" s="71">
        <f t="shared" si="6"/>
        <v>323.02228452118999</v>
      </c>
      <c r="X39" s="64">
        <f t="shared" si="19"/>
        <v>18.698102119481064</v>
      </c>
      <c r="Y39" s="91">
        <f t="shared" si="22"/>
        <v>-10.48412990811039</v>
      </c>
      <c r="Z39" s="52">
        <f t="shared" si="7"/>
        <v>8.5693475495736957E-2</v>
      </c>
      <c r="AA39" s="60">
        <f t="shared" si="8"/>
        <v>119.32418240170892</v>
      </c>
      <c r="AB39" s="60">
        <f t="shared" si="9"/>
        <v>176.92636894241718</v>
      </c>
      <c r="AC39" s="60"/>
    </row>
    <row r="40" spans="2:29" x14ac:dyDescent="0.25">
      <c r="B40" s="30">
        <f t="shared" si="30"/>
        <v>23</v>
      </c>
      <c r="C40" s="2">
        <f t="shared" si="10"/>
        <v>15.502597402597402</v>
      </c>
      <c r="D40" s="19">
        <f t="shared" si="26"/>
        <v>7.4025974025974008</v>
      </c>
      <c r="E40" s="20">
        <f t="shared" si="31"/>
        <v>0.6168831168831167</v>
      </c>
      <c r="F40" s="19">
        <f t="shared" si="27"/>
        <v>0.19853999999999999</v>
      </c>
      <c r="G40" s="21">
        <f t="shared" si="32"/>
        <v>0.81542311688311675</v>
      </c>
      <c r="I40" s="54">
        <f t="shared" si="20"/>
        <v>29</v>
      </c>
      <c r="J40" s="32">
        <f t="shared" si="20"/>
        <v>39622</v>
      </c>
      <c r="K40" s="9">
        <f t="shared" si="20"/>
        <v>16</v>
      </c>
      <c r="L40" s="2">
        <f t="shared" si="29"/>
        <v>31.011697088170038</v>
      </c>
      <c r="M40" s="6">
        <f t="shared" si="28"/>
        <v>16</v>
      </c>
      <c r="N40" s="71">
        <f t="shared" si="1"/>
        <v>279.10527379353033</v>
      </c>
      <c r="O40" s="9">
        <f t="shared" si="2"/>
        <v>144</v>
      </c>
      <c r="P40" s="6">
        <f t="shared" si="44"/>
        <v>11</v>
      </c>
      <c r="Q40" s="115">
        <f t="shared" si="45"/>
        <v>0.17374943820224734</v>
      </c>
      <c r="R40" s="6">
        <f t="shared" si="24"/>
        <v>75.744269741317751</v>
      </c>
      <c r="S40" s="7">
        <f t="shared" si="3"/>
        <v>13.160524314593442</v>
      </c>
      <c r="T40" s="7">
        <f t="shared" si="4"/>
        <v>46.278651293411244</v>
      </c>
      <c r="U40" s="7">
        <f t="shared" si="18"/>
        <v>59.439175608004689</v>
      </c>
      <c r="V40" s="64">
        <f t="shared" si="5"/>
        <v>378.72134870658874</v>
      </c>
      <c r="W40" s="71">
        <f t="shared" si="6"/>
        <v>319.28217309858405</v>
      </c>
      <c r="X40" s="64">
        <f t="shared" si="19"/>
        <v>8.3874468921144398</v>
      </c>
      <c r="Y40" s="91">
        <f t="shared" si="22"/>
        <v>-10.310655227366624</v>
      </c>
      <c r="Z40" s="52">
        <f t="shared" si="7"/>
        <v>3.8439702068605003E-2</v>
      </c>
      <c r="AA40" s="60">
        <f t="shared" si="8"/>
        <v>125.89472620646967</v>
      </c>
      <c r="AB40" s="60">
        <f t="shared" si="9"/>
        <v>185.33390181447436</v>
      </c>
      <c r="AC40" s="52"/>
    </row>
    <row r="41" spans="2:29" x14ac:dyDescent="0.25">
      <c r="B41" s="30">
        <f t="shared" si="30"/>
        <v>23.5</v>
      </c>
      <c r="C41" s="2">
        <f t="shared" si="10"/>
        <v>15.943137254901959</v>
      </c>
      <c r="D41" s="19">
        <f t="shared" si="26"/>
        <v>7.8431372549019578</v>
      </c>
      <c r="E41" s="20">
        <f t="shared" si="31"/>
        <v>0.65359477124182985</v>
      </c>
      <c r="F41" s="19">
        <f t="shared" si="27"/>
        <v>0.2082</v>
      </c>
      <c r="G41" s="21">
        <f t="shared" si="32"/>
        <v>0.8617947712418299</v>
      </c>
      <c r="I41" s="54">
        <f t="shared" si="20"/>
        <v>30</v>
      </c>
      <c r="J41" s="32">
        <f t="shared" si="20"/>
        <v>39623</v>
      </c>
      <c r="K41" s="9">
        <f t="shared" si="20"/>
        <v>17</v>
      </c>
      <c r="L41" s="2">
        <f t="shared" si="29"/>
        <v>30.298428055142125</v>
      </c>
      <c r="M41" s="6">
        <f t="shared" si="28"/>
        <v>17</v>
      </c>
      <c r="N41" s="71">
        <f t="shared" si="1"/>
        <v>272.68585249627915</v>
      </c>
      <c r="O41" s="9">
        <f t="shared" si="2"/>
        <v>153</v>
      </c>
      <c r="P41" s="6">
        <f t="shared" si="44"/>
        <v>11</v>
      </c>
      <c r="Q41" s="115">
        <f t="shared" si="45"/>
        <v>0.17374943820224734</v>
      </c>
      <c r="R41" s="6">
        <f t="shared" si="24"/>
        <v>75.36554839261116</v>
      </c>
      <c r="S41" s="7">
        <f t="shared" si="3"/>
        <v>13.094721693020475</v>
      </c>
      <c r="T41" s="7">
        <f t="shared" si="4"/>
        <v>48.1722580369442</v>
      </c>
      <c r="U41" s="7">
        <f t="shared" si="18"/>
        <v>61.266979729964675</v>
      </c>
      <c r="V41" s="64">
        <f t="shared" si="5"/>
        <v>376.82774196305581</v>
      </c>
      <c r="W41" s="71">
        <f t="shared" si="6"/>
        <v>315.56076223309117</v>
      </c>
      <c r="X41" s="64">
        <f t="shared" si="19"/>
        <v>-1.7533852706296784</v>
      </c>
      <c r="Y41" s="91">
        <f t="shared" si="22"/>
        <v>-10.140832162744118</v>
      </c>
      <c r="Z41" s="52">
        <f t="shared" si="7"/>
        <v>-8.035771585969952E-3</v>
      </c>
      <c r="AA41" s="60">
        <f t="shared" si="8"/>
        <v>132.31414750372085</v>
      </c>
      <c r="AB41" s="60">
        <f t="shared" si="9"/>
        <v>193.58112723368552</v>
      </c>
      <c r="AC41" s="52"/>
    </row>
    <row r="42" spans="2:29" x14ac:dyDescent="0.25">
      <c r="B42" s="30">
        <f t="shared" si="30"/>
        <v>24</v>
      </c>
      <c r="C42" s="2">
        <f t="shared" si="10"/>
        <v>16.389473684210525</v>
      </c>
      <c r="D42" s="19">
        <f t="shared" si="26"/>
        <v>8.2894736842105239</v>
      </c>
      <c r="E42" s="20">
        <f t="shared" si="31"/>
        <v>0.69078947368421029</v>
      </c>
      <c r="F42" s="19">
        <f t="shared" si="27"/>
        <v>0.21785999999999994</v>
      </c>
      <c r="G42" s="21">
        <f t="shared" si="32"/>
        <v>0.90864947368421023</v>
      </c>
      <c r="I42" s="54">
        <f t="shared" si="20"/>
        <v>31</v>
      </c>
      <c r="J42" s="32">
        <f t="shared" si="20"/>
        <v>39624</v>
      </c>
      <c r="K42" s="9">
        <f t="shared" si="20"/>
        <v>18</v>
      </c>
      <c r="L42" s="2">
        <f t="shared" si="29"/>
        <v>29.601564209873857</v>
      </c>
      <c r="M42" s="6">
        <f t="shared" si="28"/>
        <v>18</v>
      </c>
      <c r="N42" s="71">
        <f t="shared" si="1"/>
        <v>266.41407788886471</v>
      </c>
      <c r="O42" s="9">
        <f t="shared" si="2"/>
        <v>162</v>
      </c>
      <c r="P42" s="6">
        <f t="shared" si="44"/>
        <v>11</v>
      </c>
      <c r="Q42" s="115">
        <f t="shared" si="45"/>
        <v>0.17374943820224734</v>
      </c>
      <c r="R42" s="6">
        <f t="shared" si="24"/>
        <v>74.988720650648105</v>
      </c>
      <c r="S42" s="7">
        <f t="shared" si="3"/>
        <v>13.029248084555372</v>
      </c>
      <c r="T42" s="7">
        <f t="shared" si="4"/>
        <v>50.056396746759475</v>
      </c>
      <c r="U42" s="7">
        <f t="shared" si="18"/>
        <v>63.085644831314845</v>
      </c>
      <c r="V42" s="64">
        <f t="shared" si="5"/>
        <v>374.94360325324055</v>
      </c>
      <c r="W42" s="71">
        <f t="shared" si="6"/>
        <v>311.85795842192573</v>
      </c>
      <c r="X42" s="64">
        <f t="shared" si="19"/>
        <v>-11.72796368920956</v>
      </c>
      <c r="Y42" s="91">
        <f t="shared" si="22"/>
        <v>-9.9745784185798811</v>
      </c>
      <c r="Z42" s="52">
        <f t="shared" si="7"/>
        <v>-5.3749303677675317E-2</v>
      </c>
      <c r="AA42" s="60">
        <f t="shared" si="8"/>
        <v>138.58592211113529</v>
      </c>
      <c r="AB42" s="60">
        <f t="shared" si="9"/>
        <v>201.67156694245014</v>
      </c>
      <c r="AC42" s="52"/>
    </row>
    <row r="43" spans="2:29" x14ac:dyDescent="0.25">
      <c r="B43" s="30">
        <f t="shared" si="30"/>
        <v>24.5</v>
      </c>
      <c r="C43" s="2">
        <f t="shared" si="10"/>
        <v>16.841721854304634</v>
      </c>
      <c r="D43" s="19">
        <f t="shared" si="26"/>
        <v>8.7417218543046324</v>
      </c>
      <c r="E43" s="20">
        <f t="shared" si="31"/>
        <v>0.72847682119205259</v>
      </c>
      <c r="F43" s="19">
        <f t="shared" si="27"/>
        <v>0.22751999999999994</v>
      </c>
      <c r="G43" s="21">
        <f t="shared" si="32"/>
        <v>0.95599682119205254</v>
      </c>
      <c r="I43" s="54">
        <f t="shared" si="20"/>
        <v>32</v>
      </c>
      <c r="J43" s="32">
        <f t="shared" si="20"/>
        <v>39625</v>
      </c>
      <c r="K43" s="9">
        <f t="shared" si="20"/>
        <v>19</v>
      </c>
      <c r="L43" s="2">
        <f t="shared" si="29"/>
        <v>28.920728233046756</v>
      </c>
      <c r="M43" s="6">
        <f t="shared" si="28"/>
        <v>19</v>
      </c>
      <c r="N43" s="71">
        <f t="shared" si="1"/>
        <v>260.28655409742078</v>
      </c>
      <c r="O43" s="9">
        <f t="shared" si="2"/>
        <v>171</v>
      </c>
      <c r="P43" s="6">
        <f t="shared" si="44"/>
        <v>11</v>
      </c>
      <c r="Q43" s="115">
        <f t="shared" si="45"/>
        <v>0.17374943820224734</v>
      </c>
      <c r="R43" s="6">
        <f t="shared" si="24"/>
        <v>74.613777047394862</v>
      </c>
      <c r="S43" s="7">
        <f t="shared" si="3"/>
        <v>12.964101844132594</v>
      </c>
      <c r="T43" s="7">
        <f t="shared" si="4"/>
        <v>51.93111476302569</v>
      </c>
      <c r="U43" s="7">
        <f t="shared" si="18"/>
        <v>64.895216607158289</v>
      </c>
      <c r="V43" s="64">
        <f t="shared" si="5"/>
        <v>373.06888523697432</v>
      </c>
      <c r="W43" s="71">
        <f t="shared" si="6"/>
        <v>308.17366862981601</v>
      </c>
      <c r="X43" s="64">
        <f t="shared" si="19"/>
        <v>-21.539777272763217</v>
      </c>
      <c r="Y43" s="91">
        <f t="shared" si="22"/>
        <v>-9.8118135835536577</v>
      </c>
      <c r="Z43" s="52">
        <f t="shared" si="7"/>
        <v>-9.8716883890801771E-2</v>
      </c>
      <c r="AA43" s="60">
        <f t="shared" si="8"/>
        <v>144.71344590257922</v>
      </c>
      <c r="AB43" s="60">
        <f t="shared" si="9"/>
        <v>209.60866250973751</v>
      </c>
      <c r="AC43" s="52"/>
    </row>
    <row r="44" spans="2:29" x14ac:dyDescent="0.25">
      <c r="B44" s="30">
        <f t="shared" si="30"/>
        <v>25</v>
      </c>
      <c r="C44" s="2">
        <f t="shared" si="10"/>
        <v>17.3</v>
      </c>
      <c r="D44" s="19">
        <f t="shared" si="26"/>
        <v>9.1999999999999993</v>
      </c>
      <c r="E44" s="20">
        <f t="shared" si="31"/>
        <v>0.76666666666666672</v>
      </c>
      <c r="F44" s="19">
        <f t="shared" si="27"/>
        <v>0.23717999999999995</v>
      </c>
      <c r="G44" s="21">
        <f t="shared" si="32"/>
        <v>1.0038466666666666</v>
      </c>
      <c r="I44" s="54">
        <f t="shared" si="20"/>
        <v>33</v>
      </c>
      <c r="J44" s="32">
        <f t="shared" si="20"/>
        <v>39626</v>
      </c>
      <c r="K44" s="9">
        <f t="shared" si="20"/>
        <v>20</v>
      </c>
      <c r="L44" s="2">
        <f t="shared" si="29"/>
        <v>28.255551483686681</v>
      </c>
      <c r="M44" s="6">
        <f t="shared" si="28"/>
        <v>20</v>
      </c>
      <c r="N44" s="71">
        <f t="shared" si="1"/>
        <v>254.29996335318012</v>
      </c>
      <c r="O44" s="9">
        <f t="shared" si="2"/>
        <v>180</v>
      </c>
      <c r="P44" s="6">
        <f t="shared" si="44"/>
        <v>11</v>
      </c>
      <c r="Q44" s="115">
        <f t="shared" si="45"/>
        <v>0.17374943820224734</v>
      </c>
      <c r="R44" s="6">
        <f t="shared" si="24"/>
        <v>74.240708162157887</v>
      </c>
      <c r="S44" s="7">
        <f t="shared" si="3"/>
        <v>12.899281334911931</v>
      </c>
      <c r="T44" s="7">
        <f t="shared" si="4"/>
        <v>53.796459189210566</v>
      </c>
      <c r="U44" s="7">
        <f t="shared" si="18"/>
        <v>66.695740524122499</v>
      </c>
      <c r="V44" s="64">
        <f t="shared" si="5"/>
        <v>371.20354081078943</v>
      </c>
      <c r="W44" s="71">
        <f t="shared" si="6"/>
        <v>304.50780028666691</v>
      </c>
      <c r="X44" s="64">
        <f t="shared" si="19"/>
        <v>-31.192236360152947</v>
      </c>
      <c r="Y44" s="91">
        <f t="shared" si="22"/>
        <v>-9.6524590873897296</v>
      </c>
      <c r="Z44" s="52">
        <f t="shared" si="7"/>
        <v>-0.14295414182175759</v>
      </c>
      <c r="AA44" s="60">
        <f t="shared" si="8"/>
        <v>150.70003664681988</v>
      </c>
      <c r="AB44" s="60">
        <f t="shared" si="9"/>
        <v>217.39577717094238</v>
      </c>
      <c r="AC44" s="52"/>
    </row>
    <row r="45" spans="2:29" x14ac:dyDescent="0.25">
      <c r="B45" s="30">
        <f t="shared" si="30"/>
        <v>25.5</v>
      </c>
      <c r="C45" s="2">
        <f t="shared" si="10"/>
        <v>17.764429530201344</v>
      </c>
      <c r="D45" s="19">
        <f t="shared" si="26"/>
        <v>9.6644295302013425</v>
      </c>
      <c r="E45" s="20">
        <f t="shared" si="31"/>
        <v>0.80536912751677858</v>
      </c>
      <c r="F45" s="19">
        <f t="shared" si="27"/>
        <v>0.24683999999999995</v>
      </c>
      <c r="G45" s="21">
        <f t="shared" si="32"/>
        <v>1.0522091275167784</v>
      </c>
      <c r="I45" s="54">
        <f t="shared" si="20"/>
        <v>34</v>
      </c>
      <c r="J45" s="32">
        <f t="shared" si="20"/>
        <v>39627</v>
      </c>
      <c r="K45" s="9">
        <f t="shared" si="20"/>
        <v>21</v>
      </c>
      <c r="L45" s="2">
        <f t="shared" si="29"/>
        <v>27.605673799561885</v>
      </c>
      <c r="M45" s="6">
        <f t="shared" si="28"/>
        <v>21</v>
      </c>
      <c r="N45" s="71">
        <f t="shared" si="1"/>
        <v>248.45106419605696</v>
      </c>
      <c r="O45" s="9">
        <f t="shared" si="2"/>
        <v>189</v>
      </c>
      <c r="P45" s="6">
        <f t="shared" si="44"/>
        <v>11</v>
      </c>
      <c r="Q45" s="115">
        <f t="shared" si="45"/>
        <v>0.17374943820224734</v>
      </c>
      <c r="R45" s="6">
        <f t="shared" si="24"/>
        <v>73.86950462134709</v>
      </c>
      <c r="S45" s="7">
        <f t="shared" si="3"/>
        <v>12.83478492823737</v>
      </c>
      <c r="T45" s="7">
        <f t="shared" si="4"/>
        <v>55.652476893264549</v>
      </c>
      <c r="U45" s="7">
        <f t="shared" si="18"/>
        <v>68.487261821501917</v>
      </c>
      <c r="V45" s="64">
        <f t="shared" si="5"/>
        <v>369.34752310673548</v>
      </c>
      <c r="W45" s="71">
        <f t="shared" si="6"/>
        <v>300.86026128523355</v>
      </c>
      <c r="X45" s="64">
        <f t="shared" si="19"/>
        <v>-40.68867451870949</v>
      </c>
      <c r="Y45" s="91">
        <f t="shared" si="22"/>
        <v>-9.4964381585565434</v>
      </c>
      <c r="Z45" s="52">
        <f t="shared" si="7"/>
        <v>-0.18647635522272021</v>
      </c>
      <c r="AA45" s="60">
        <f t="shared" si="8"/>
        <v>156.54893580394304</v>
      </c>
      <c r="AB45" s="60">
        <f t="shared" si="9"/>
        <v>225.03619762544497</v>
      </c>
      <c r="AC45" s="52"/>
    </row>
    <row r="46" spans="2:29" x14ac:dyDescent="0.25">
      <c r="B46" s="30">
        <f t="shared" si="30"/>
        <v>26</v>
      </c>
      <c r="C46" s="2">
        <f t="shared" si="10"/>
        <v>18.235135135135135</v>
      </c>
      <c r="D46" s="19">
        <f t="shared" si="26"/>
        <v>10.135135135135133</v>
      </c>
      <c r="E46" s="20">
        <f t="shared" si="31"/>
        <v>0.84459459459459441</v>
      </c>
      <c r="F46" s="19">
        <f t="shared" si="27"/>
        <v>0.25649999999999995</v>
      </c>
      <c r="G46" s="21">
        <f t="shared" si="32"/>
        <v>1.1010945945945942</v>
      </c>
      <c r="I46" s="54">
        <f t="shared" si="20"/>
        <v>35</v>
      </c>
      <c r="J46" s="32">
        <f t="shared" si="20"/>
        <v>39628</v>
      </c>
      <c r="K46" s="9">
        <f t="shared" si="20"/>
        <v>22</v>
      </c>
      <c r="L46" s="2">
        <f t="shared" si="29"/>
        <v>26.970743302171961</v>
      </c>
      <c r="M46" s="6">
        <f t="shared" si="28"/>
        <v>22</v>
      </c>
      <c r="N46" s="71">
        <f t="shared" si="1"/>
        <v>242.73668971954766</v>
      </c>
      <c r="O46" s="9">
        <f t="shared" si="2"/>
        <v>198</v>
      </c>
      <c r="P46" s="6">
        <f t="shared" si="44"/>
        <v>11</v>
      </c>
      <c r="Q46" s="115">
        <f t="shared" si="45"/>
        <v>0.17374943820224734</v>
      </c>
      <c r="R46" s="6">
        <f t="shared" si="24"/>
        <v>73.500157098240351</v>
      </c>
      <c r="S46" s="7">
        <f t="shared" si="3"/>
        <v>12.770611003596184</v>
      </c>
      <c r="T46" s="7">
        <f t="shared" si="4"/>
        <v>57.499214508798246</v>
      </c>
      <c r="U46" s="7">
        <f t="shared" si="18"/>
        <v>70.269825512394434</v>
      </c>
      <c r="V46" s="64">
        <f t="shared" si="5"/>
        <v>367.50078549120178</v>
      </c>
      <c r="W46" s="71">
        <f t="shared" si="6"/>
        <v>297.23095997880733</v>
      </c>
      <c r="X46" s="64">
        <f t="shared" si="19"/>
        <v>-50.03235030164501</v>
      </c>
      <c r="Y46" s="91">
        <f t="shared" si="22"/>
        <v>-9.3436757829355201</v>
      </c>
      <c r="Z46" s="52">
        <f t="shared" si="7"/>
        <v>-0.22929845805586688</v>
      </c>
      <c r="AA46" s="60">
        <f t="shared" si="8"/>
        <v>162.26331028045234</v>
      </c>
      <c r="AB46" s="60">
        <f t="shared" si="9"/>
        <v>232.53313579284679</v>
      </c>
      <c r="AC46" s="52"/>
    </row>
    <row r="47" spans="2:29" x14ac:dyDescent="0.25">
      <c r="B47" s="30">
        <f t="shared" si="30"/>
        <v>26.5</v>
      </c>
      <c r="C47" s="2">
        <f t="shared" si="10"/>
        <v>18.712244897959184</v>
      </c>
      <c r="D47" s="19">
        <f t="shared" si="26"/>
        <v>10.612244897959183</v>
      </c>
      <c r="E47" s="20">
        <f t="shared" si="31"/>
        <v>0.88435374149659862</v>
      </c>
      <c r="F47" s="19">
        <f t="shared" si="27"/>
        <v>0.26615999999999995</v>
      </c>
      <c r="G47" s="21">
        <f t="shared" si="32"/>
        <v>1.1505137414965985</v>
      </c>
      <c r="I47" s="54">
        <f t="shared" si="20"/>
        <v>36</v>
      </c>
      <c r="J47" s="32">
        <f t="shared" si="20"/>
        <v>39629</v>
      </c>
      <c r="K47" s="9">
        <f t="shared" si="20"/>
        <v>23</v>
      </c>
      <c r="L47" s="2">
        <f t="shared" si="29"/>
        <v>26.350416206222004</v>
      </c>
      <c r="M47" s="6">
        <f t="shared" si="28"/>
        <v>23</v>
      </c>
      <c r="N47" s="71">
        <f t="shared" si="1"/>
        <v>237.15374585599804</v>
      </c>
      <c r="O47" s="9">
        <f t="shared" si="2"/>
        <v>207</v>
      </c>
      <c r="P47" s="6">
        <f t="shared" si="44"/>
        <v>11</v>
      </c>
      <c r="Q47" s="115">
        <f t="shared" si="45"/>
        <v>0.17374943820224734</v>
      </c>
      <c r="R47" s="6">
        <f t="shared" si="24"/>
        <v>73.132656312749148</v>
      </c>
      <c r="S47" s="7">
        <f t="shared" si="3"/>
        <v>12.706757948578202</v>
      </c>
      <c r="T47" s="7">
        <f t="shared" si="4"/>
        <v>59.336718436254259</v>
      </c>
      <c r="U47" s="7">
        <f t="shared" si="18"/>
        <v>72.043476384832459</v>
      </c>
      <c r="V47" s="64">
        <f t="shared" si="5"/>
        <v>365.66328156374573</v>
      </c>
      <c r="W47" s="71">
        <f t="shared" si="6"/>
        <v>293.61980517891328</v>
      </c>
      <c r="X47" s="64">
        <f t="shared" si="19"/>
        <v>-59.226448965088707</v>
      </c>
      <c r="Y47" s="91">
        <f t="shared" si="22"/>
        <v>-9.1940986634436968</v>
      </c>
      <c r="Z47" s="52">
        <f t="shared" si="7"/>
        <v>-0.27143504836255555</v>
      </c>
      <c r="AA47" s="60">
        <f t="shared" si="8"/>
        <v>167.84625414400196</v>
      </c>
      <c r="AB47" s="60">
        <f t="shared" si="9"/>
        <v>239.88973052883443</v>
      </c>
      <c r="AC47" s="52"/>
    </row>
    <row r="48" spans="2:29" x14ac:dyDescent="0.25">
      <c r="B48" s="30">
        <f t="shared" si="30"/>
        <v>27</v>
      </c>
      <c r="C48" s="2">
        <f t="shared" si="10"/>
        <v>19.195890410958903</v>
      </c>
      <c r="D48" s="19">
        <f t="shared" si="26"/>
        <v>11.095890410958901</v>
      </c>
      <c r="E48" s="20">
        <f t="shared" si="31"/>
        <v>0.92465753424657515</v>
      </c>
      <c r="F48" s="19">
        <f t="shared" si="27"/>
        <v>0.27581999999999995</v>
      </c>
      <c r="G48" s="21">
        <f t="shared" si="32"/>
        <v>1.2004775342465752</v>
      </c>
      <c r="I48" s="54">
        <f t="shared" si="20"/>
        <v>37</v>
      </c>
      <c r="J48" s="32">
        <f t="shared" si="20"/>
        <v>39630</v>
      </c>
      <c r="K48" s="9">
        <f t="shared" si="20"/>
        <v>24</v>
      </c>
      <c r="L48" s="2">
        <f t="shared" si="29"/>
        <v>25.744356633478898</v>
      </c>
      <c r="M48" s="6">
        <f t="shared" si="28"/>
        <v>24</v>
      </c>
      <c r="N48" s="71">
        <f t="shared" si="1"/>
        <v>231.69920970131008</v>
      </c>
      <c r="O48" s="9">
        <f t="shared" si="2"/>
        <v>216</v>
      </c>
      <c r="P48" s="6">
        <f t="shared" si="44"/>
        <v>11</v>
      </c>
      <c r="Q48" s="115">
        <f t="shared" si="45"/>
        <v>0.17374943820224734</v>
      </c>
      <c r="R48" s="6">
        <f t="shared" si="24"/>
        <v>72.766993031185407</v>
      </c>
      <c r="S48" s="7">
        <f t="shared" si="3"/>
        <v>12.643224158835311</v>
      </c>
      <c r="T48" s="7">
        <f t="shared" si="4"/>
        <v>61.165034844072963</v>
      </c>
      <c r="U48" s="7">
        <f t="shared" si="18"/>
        <v>73.808259002908272</v>
      </c>
      <c r="V48" s="64">
        <f t="shared" si="5"/>
        <v>363.83496515592702</v>
      </c>
      <c r="W48" s="71">
        <f t="shared" si="6"/>
        <v>290.02670615301872</v>
      </c>
      <c r="X48" s="64">
        <f t="shared" si="19"/>
        <v>-68.274084145671168</v>
      </c>
      <c r="Y48" s="91">
        <f t="shared" si="22"/>
        <v>-9.0476351805824606</v>
      </c>
      <c r="Z48" s="52">
        <f t="shared" si="7"/>
        <v>-0.31290039595170049</v>
      </c>
      <c r="AA48" s="60">
        <f t="shared" si="8"/>
        <v>173.30079029868992</v>
      </c>
      <c r="AB48" s="60">
        <f t="shared" si="9"/>
        <v>247.10904930159819</v>
      </c>
      <c r="AC48" s="52"/>
    </row>
    <row r="49" spans="2:29" x14ac:dyDescent="0.25">
      <c r="B49" s="30">
        <f t="shared" si="30"/>
        <v>27.5</v>
      </c>
      <c r="C49" s="2">
        <f t="shared" si="10"/>
        <v>19.686206896551727</v>
      </c>
      <c r="D49" s="19">
        <f t="shared" si="26"/>
        <v>11.586206896551726</v>
      </c>
      <c r="E49" s="20">
        <f t="shared" si="31"/>
        <v>0.96551724137931061</v>
      </c>
      <c r="F49" s="19">
        <f t="shared" si="27"/>
        <v>0.28547999999999996</v>
      </c>
      <c r="G49" s="21">
        <f t="shared" si="32"/>
        <v>1.2509972413793107</v>
      </c>
      <c r="I49" s="54">
        <f t="shared" si="20"/>
        <v>38</v>
      </c>
      <c r="J49" s="32">
        <f t="shared" si="20"/>
        <v>39631</v>
      </c>
      <c r="K49" s="9">
        <f t="shared" si="20"/>
        <v>25</v>
      </c>
      <c r="L49" s="2">
        <f t="shared" si="29"/>
        <v>25.152236430908882</v>
      </c>
      <c r="M49" s="6">
        <f t="shared" si="28"/>
        <v>25</v>
      </c>
      <c r="N49" s="71">
        <f t="shared" si="1"/>
        <v>226.37012787817994</v>
      </c>
      <c r="O49" s="9">
        <f t="shared" si="2"/>
        <v>225</v>
      </c>
      <c r="P49" s="6">
        <f t="shared" si="44"/>
        <v>11</v>
      </c>
      <c r="Q49" s="115">
        <f t="shared" si="45"/>
        <v>0.17374943820224734</v>
      </c>
      <c r="R49" s="6">
        <f t="shared" si="24"/>
        <v>72.403158066029476</v>
      </c>
      <c r="S49" s="7">
        <f t="shared" si="3"/>
        <v>12.580008038041134</v>
      </c>
      <c r="T49" s="7">
        <f t="shared" si="4"/>
        <v>62.984209669852618</v>
      </c>
      <c r="U49" s="7">
        <f t="shared" si="18"/>
        <v>75.564217707893746</v>
      </c>
      <c r="V49" s="64">
        <f t="shared" si="5"/>
        <v>362.01579033014741</v>
      </c>
      <c r="W49" s="71">
        <f t="shared" si="6"/>
        <v>286.45157262225365</v>
      </c>
      <c r="X49" s="64">
        <f t="shared" si="19"/>
        <v>-77.178299499566378</v>
      </c>
      <c r="Y49" s="91">
        <f t="shared" si="22"/>
        <v>-8.9042153538952107</v>
      </c>
      <c r="Z49" s="52">
        <f t="shared" si="7"/>
        <v>-0.35370844991150852</v>
      </c>
      <c r="AA49" s="60">
        <f t="shared" si="8"/>
        <v>178.62987212182006</v>
      </c>
      <c r="AB49" s="60">
        <f t="shared" si="9"/>
        <v>254.19408982971379</v>
      </c>
      <c r="AC49" s="52"/>
    </row>
    <row r="50" spans="2:29" x14ac:dyDescent="0.25">
      <c r="B50" s="30">
        <f t="shared" si="30"/>
        <v>28</v>
      </c>
      <c r="C50" s="2">
        <f t="shared" si="10"/>
        <v>20.183333333333337</v>
      </c>
      <c r="D50" s="19">
        <f t="shared" si="26"/>
        <v>12.083333333333336</v>
      </c>
      <c r="E50" s="20">
        <f t="shared" si="31"/>
        <v>1.0069444444444446</v>
      </c>
      <c r="F50" s="19">
        <f t="shared" si="27"/>
        <v>0.29513999999999996</v>
      </c>
      <c r="G50" s="21">
        <f t="shared" si="32"/>
        <v>1.3020844444444446</v>
      </c>
      <c r="I50" s="54">
        <f t="shared" si="20"/>
        <v>39</v>
      </c>
      <c r="J50" s="32">
        <f t="shared" si="20"/>
        <v>39632</v>
      </c>
      <c r="K50" s="9">
        <f t="shared" si="20"/>
        <v>26</v>
      </c>
      <c r="L50" s="2">
        <f t="shared" si="29"/>
        <v>24.573734992997977</v>
      </c>
      <c r="M50" s="6">
        <f t="shared" si="28"/>
        <v>26</v>
      </c>
      <c r="N50" s="71">
        <f t="shared" si="1"/>
        <v>221.16361493698179</v>
      </c>
      <c r="O50" s="9">
        <f t="shared" si="2"/>
        <v>234</v>
      </c>
      <c r="P50" s="6">
        <f t="shared" si="44"/>
        <v>11</v>
      </c>
      <c r="Q50" s="115">
        <f t="shared" si="45"/>
        <v>0.17374943820224734</v>
      </c>
      <c r="R50" s="6">
        <f t="shared" si="24"/>
        <v>72.041142275699329</v>
      </c>
      <c r="S50" s="7">
        <f t="shared" si="3"/>
        <v>12.517107997850928</v>
      </c>
      <c r="T50" s="7">
        <f t="shared" si="4"/>
        <v>64.794288621503355</v>
      </c>
      <c r="U50" s="7">
        <f t="shared" si="18"/>
        <v>77.311396619354284</v>
      </c>
      <c r="V50" s="64">
        <f t="shared" si="5"/>
        <v>360.20571137849663</v>
      </c>
      <c r="W50" s="71">
        <f t="shared" si="6"/>
        <v>282.89431475914233</v>
      </c>
      <c r="X50" s="64">
        <f t="shared" si="19"/>
        <v>-85.94207030387588</v>
      </c>
      <c r="Y50" s="91">
        <f t="shared" si="22"/>
        <v>-8.7637708043095017</v>
      </c>
      <c r="Z50" s="52">
        <f t="shared" si="7"/>
        <v>-0.39387284594862859</v>
      </c>
      <c r="AA50" s="60">
        <f t="shared" si="8"/>
        <v>183.83638506301821</v>
      </c>
      <c r="AB50" s="60">
        <f t="shared" si="9"/>
        <v>261.14778168237251</v>
      </c>
      <c r="AC50" s="52"/>
    </row>
    <row r="51" spans="2:29" x14ac:dyDescent="0.25">
      <c r="B51" s="30">
        <f t="shared" si="30"/>
        <v>28.5</v>
      </c>
      <c r="C51" s="2">
        <f t="shared" si="10"/>
        <v>20.687412587412584</v>
      </c>
      <c r="D51" s="19">
        <f t="shared" si="26"/>
        <v>12.587412587412583</v>
      </c>
      <c r="E51" s="20">
        <f t="shared" si="31"/>
        <v>1.0489510489510487</v>
      </c>
      <c r="F51" s="19">
        <f t="shared" si="27"/>
        <v>0.30479999999999996</v>
      </c>
      <c r="G51" s="21">
        <f t="shared" si="32"/>
        <v>1.3537510489510487</v>
      </c>
      <c r="I51" s="54">
        <f t="shared" si="20"/>
        <v>40</v>
      </c>
      <c r="J51" s="32">
        <f t="shared" si="20"/>
        <v>39633</v>
      </c>
      <c r="K51" s="9">
        <f t="shared" si="20"/>
        <v>27</v>
      </c>
      <c r="L51" s="2">
        <f t="shared" si="29"/>
        <v>24.008539088159022</v>
      </c>
      <c r="M51" s="6">
        <f t="shared" si="28"/>
        <v>27</v>
      </c>
      <c r="N51" s="71">
        <f t="shared" si="1"/>
        <v>216.07685179343119</v>
      </c>
      <c r="O51" s="9">
        <f t="shared" si="2"/>
        <v>243</v>
      </c>
      <c r="P51" s="6">
        <f t="shared" si="44"/>
        <v>11</v>
      </c>
      <c r="Q51" s="115">
        <f t="shared" si="45"/>
        <v>0.17374943820224734</v>
      </c>
      <c r="R51" s="6">
        <f t="shared" si="24"/>
        <v>71.680936564320831</v>
      </c>
      <c r="S51" s="7">
        <f t="shared" si="3"/>
        <v>12.454522457861673</v>
      </c>
      <c r="T51" s="7">
        <f t="shared" si="4"/>
        <v>66.595317178395845</v>
      </c>
      <c r="U51" s="7">
        <f t="shared" si="18"/>
        <v>79.049839636257516</v>
      </c>
      <c r="V51" s="64">
        <f t="shared" si="5"/>
        <v>358.40468282160418</v>
      </c>
      <c r="W51" s="71">
        <f t="shared" si="6"/>
        <v>279.35484318534668</v>
      </c>
      <c r="X51" s="64">
        <f t="shared" si="19"/>
        <v>-94.568305021222159</v>
      </c>
      <c r="Y51" s="91">
        <f t="shared" si="22"/>
        <v>-8.6262347173462786</v>
      </c>
      <c r="Z51" s="52">
        <f t="shared" si="7"/>
        <v>-0.43340691355868954</v>
      </c>
      <c r="AA51" s="60">
        <f t="shared" si="8"/>
        <v>188.92314820656881</v>
      </c>
      <c r="AB51" s="60">
        <f t="shared" si="9"/>
        <v>267.97298784282634</v>
      </c>
      <c r="AC51" s="52"/>
    </row>
    <row r="52" spans="2:29" x14ac:dyDescent="0.25">
      <c r="B52" s="30">
        <f t="shared" si="30"/>
        <v>29</v>
      </c>
      <c r="C52" s="2">
        <f t="shared" si="10"/>
        <v>21.198591549295774</v>
      </c>
      <c r="D52" s="19">
        <f t="shared" si="26"/>
        <v>13.098591549295772</v>
      </c>
      <c r="E52" s="20">
        <f t="shared" si="31"/>
        <v>1.0915492957746478</v>
      </c>
      <c r="F52" s="19">
        <f>0.0138*G$6*(B52-C$4)+G$7</f>
        <v>0.31445999999999996</v>
      </c>
      <c r="G52" s="21">
        <f t="shared" si="32"/>
        <v>1.4060092957746477</v>
      </c>
      <c r="I52" s="54">
        <f t="shared" si="20"/>
        <v>41</v>
      </c>
      <c r="J52" s="32">
        <f t="shared" si="20"/>
        <v>39634</v>
      </c>
      <c r="K52" s="9">
        <f t="shared" si="20"/>
        <v>28</v>
      </c>
      <c r="L52" s="2">
        <f t="shared" si="29"/>
        <v>23.456342689131365</v>
      </c>
      <c r="M52" s="6">
        <f t="shared" si="28"/>
        <v>28</v>
      </c>
      <c r="N52" s="71">
        <f t="shared" si="1"/>
        <v>211.10708420218228</v>
      </c>
      <c r="O52" s="9">
        <f t="shared" si="2"/>
        <v>252</v>
      </c>
      <c r="P52" s="6">
        <f t="shared" si="44"/>
        <v>11</v>
      </c>
      <c r="Q52" s="115">
        <f t="shared" si="45"/>
        <v>0.17374943820224734</v>
      </c>
      <c r="R52" s="6">
        <f t="shared" si="24"/>
        <v>71.322531881499231</v>
      </c>
      <c r="S52" s="7">
        <f t="shared" si="3"/>
        <v>12.392249845572366</v>
      </c>
      <c r="T52" s="7">
        <f t="shared" si="4"/>
        <v>68.387340592503847</v>
      </c>
      <c r="U52" s="7">
        <f t="shared" si="18"/>
        <v>80.779590438076212</v>
      </c>
      <c r="V52" s="64">
        <f t="shared" si="5"/>
        <v>356.61265940749615</v>
      </c>
      <c r="W52" s="71">
        <f t="shared" si="6"/>
        <v>275.83306896941997</v>
      </c>
      <c r="X52" s="64">
        <f t="shared" si="19"/>
        <v>-103.05984682839778</v>
      </c>
      <c r="Y52" s="91">
        <f t="shared" si="22"/>
        <v>-8.4915418071756221</v>
      </c>
      <c r="Z52" s="52">
        <f t="shared" si="7"/>
        <v>-0.47232368303210526</v>
      </c>
      <c r="AA52" s="60">
        <f t="shared" si="8"/>
        <v>193.89291579781772</v>
      </c>
      <c r="AB52" s="60">
        <f t="shared" si="9"/>
        <v>274.67250623589393</v>
      </c>
      <c r="AC52" s="52"/>
    </row>
    <row r="53" spans="2:29" x14ac:dyDescent="0.25">
      <c r="B53" s="30">
        <f t="shared" si="30"/>
        <v>29.5</v>
      </c>
      <c r="C53" s="2">
        <f t="shared" si="10"/>
        <v>21.717021276595741</v>
      </c>
      <c r="D53" s="19">
        <f t="shared" si="26"/>
        <v>13.617021276595739</v>
      </c>
      <c r="E53" s="20">
        <f t="shared" si="31"/>
        <v>1.1347517730496448</v>
      </c>
      <c r="F53" s="19">
        <f t="shared" si="27"/>
        <v>0.32411999999999996</v>
      </c>
      <c r="G53" s="21">
        <f t="shared" si="32"/>
        <v>1.4588717730496448</v>
      </c>
      <c r="I53" s="74">
        <f t="shared" si="20"/>
        <v>42</v>
      </c>
      <c r="J53" s="75">
        <f t="shared" si="20"/>
        <v>39635</v>
      </c>
      <c r="K53" s="76">
        <f t="shared" si="20"/>
        <v>29</v>
      </c>
      <c r="L53" s="106">
        <f t="shared" si="29"/>
        <v>22.916846807281342</v>
      </c>
      <c r="M53" s="77">
        <f t="shared" si="28"/>
        <v>29</v>
      </c>
      <c r="N53" s="79">
        <f t="shared" si="1"/>
        <v>206.25162126553207</v>
      </c>
      <c r="O53" s="79">
        <f t="shared" si="2"/>
        <v>261</v>
      </c>
      <c r="P53" s="77">
        <f t="shared" si="44"/>
        <v>11</v>
      </c>
      <c r="Q53" s="195">
        <f t="shared" si="45"/>
        <v>0.17374943820224734</v>
      </c>
      <c r="R53" s="77">
        <f t="shared" si="24"/>
        <v>70.965919222091728</v>
      </c>
      <c r="S53" s="80">
        <f t="shared" si="3"/>
        <v>12.330288596344502</v>
      </c>
      <c r="T53" s="80">
        <f t="shared" si="4"/>
        <v>70.170403889541362</v>
      </c>
      <c r="U53" s="80">
        <f t="shared" si="18"/>
        <v>82.500692485885864</v>
      </c>
      <c r="V53" s="78">
        <f t="shared" si="5"/>
        <v>354.82959611045862</v>
      </c>
      <c r="W53" s="79">
        <f t="shared" si="6"/>
        <v>272.32890362457277</v>
      </c>
      <c r="X53" s="217">
        <f t="shared" si="19"/>
        <v>-111.41947510989519</v>
      </c>
      <c r="Y53" s="92">
        <f t="shared" si="22"/>
        <v>-8.3596282814974074</v>
      </c>
      <c r="Z53" s="81">
        <f t="shared" si="7"/>
        <v>-0.51063589229892736</v>
      </c>
      <c r="AA53" s="82">
        <f t="shared" si="8"/>
        <v>198.74837873446793</v>
      </c>
      <c r="AB53" s="82">
        <f t="shared" si="9"/>
        <v>281.24907122035381</v>
      </c>
      <c r="AC53" s="52"/>
    </row>
    <row r="54" spans="2:29" ht="13" thickBot="1" x14ac:dyDescent="0.3">
      <c r="B54" s="31">
        <f t="shared" si="30"/>
        <v>30</v>
      </c>
      <c r="C54" s="4">
        <f t="shared" si="10"/>
        <v>22.242857142857144</v>
      </c>
      <c r="D54" s="22">
        <f t="shared" si="26"/>
        <v>14.142857142857142</v>
      </c>
      <c r="E54" s="23">
        <f t="shared" si="31"/>
        <v>1.1785714285714284</v>
      </c>
      <c r="F54" s="22">
        <f t="shared" si="27"/>
        <v>0.33377999999999997</v>
      </c>
      <c r="G54" s="24">
        <f t="shared" si="32"/>
        <v>1.5123514285714283</v>
      </c>
      <c r="X54" s="42" t="s">
        <v>67</v>
      </c>
      <c r="Y54" s="42" t="s">
        <v>68</v>
      </c>
      <c r="AC54" s="52"/>
    </row>
    <row r="55" spans="2:29" x14ac:dyDescent="0.25">
      <c r="B55" s="6"/>
      <c r="C55" s="6"/>
      <c r="D55" s="6"/>
      <c r="J55" t="s">
        <v>50</v>
      </c>
      <c r="X55" s="64">
        <f>MAX(X11:X53)</f>
        <v>218.19749999999999</v>
      </c>
      <c r="Y55" s="90">
        <f>AVERAGE(Y25:Y38)</f>
        <v>-12.254185707267149</v>
      </c>
    </row>
    <row r="56" spans="2:29" x14ac:dyDescent="0.25">
      <c r="J56" t="s">
        <v>51</v>
      </c>
    </row>
    <row r="57" spans="2:29" ht="13" x14ac:dyDescent="0.3">
      <c r="J57" t="s">
        <v>52</v>
      </c>
      <c r="Y57" s="93"/>
    </row>
    <row r="58" spans="2:29" x14ac:dyDescent="0.25">
      <c r="J58" t="s">
        <v>73</v>
      </c>
    </row>
    <row r="61" spans="2:29" x14ac:dyDescent="0.25">
      <c r="J61" s="33"/>
    </row>
    <row r="64" spans="2:29" x14ac:dyDescent="0.2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2"/>
      <c r="Y64" s="1"/>
    </row>
    <row r="65" spans="10:29" x14ac:dyDescent="0.2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2"/>
    </row>
    <row r="66" spans="10:29" x14ac:dyDescent="0.2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5"/>
      <c r="Y66" s="42"/>
      <c r="Z66" s="55"/>
      <c r="AA66" s="55"/>
      <c r="AB66" s="55"/>
      <c r="AC66" s="55"/>
    </row>
    <row r="67" spans="10:29" ht="13" x14ac:dyDescent="0.3">
      <c r="L67" s="47"/>
      <c r="M67" s="40"/>
      <c r="N67" s="42"/>
      <c r="O67" s="40"/>
      <c r="P67" s="47"/>
      <c r="Q67" s="1"/>
      <c r="R67" s="1"/>
      <c r="S67" s="1"/>
      <c r="T67" s="1"/>
      <c r="U67" s="1"/>
      <c r="V67" s="1"/>
      <c r="W67" s="1"/>
      <c r="X67" s="42"/>
      <c r="Y67" s="42"/>
      <c r="Z67" s="42"/>
      <c r="AA67" s="42"/>
      <c r="AB67" s="42"/>
      <c r="AC67" s="42"/>
    </row>
    <row r="68" spans="10:29" ht="13" x14ac:dyDescent="0.3">
      <c r="L68" s="47"/>
      <c r="M68" s="39"/>
      <c r="N68" s="47"/>
      <c r="O68" s="40"/>
      <c r="P68" s="47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</row>
    <row r="69" spans="10:29" ht="13" x14ac:dyDescent="0.3">
      <c r="L69" s="49"/>
      <c r="M69" s="41"/>
      <c r="N69" s="50"/>
      <c r="O69" s="41"/>
      <c r="P69" s="48"/>
    </row>
    <row r="70" spans="10:29" x14ac:dyDescent="0.25">
      <c r="J70" s="32"/>
      <c r="L70" s="6"/>
      <c r="M70" s="6"/>
      <c r="N70" s="7"/>
      <c r="Q70" s="7"/>
      <c r="R70" s="7"/>
      <c r="S70" s="7"/>
      <c r="T70" s="7"/>
      <c r="U70" s="7"/>
      <c r="V70" s="7"/>
      <c r="W70" s="7"/>
      <c r="X70" s="7"/>
      <c r="Y70" s="7"/>
      <c r="Z70" s="52"/>
      <c r="AA70" s="52"/>
      <c r="AB70" s="52"/>
      <c r="AC70" s="52"/>
    </row>
    <row r="71" spans="10:29" x14ac:dyDescent="0.25">
      <c r="J71" s="32"/>
      <c r="L71" s="6"/>
      <c r="M71" s="6"/>
      <c r="N71" s="7"/>
      <c r="P71" s="6"/>
      <c r="Q71" s="7"/>
      <c r="R71" s="7"/>
      <c r="S71" s="7"/>
      <c r="T71" s="7"/>
      <c r="U71" s="7"/>
      <c r="V71" s="7"/>
      <c r="W71" s="7"/>
      <c r="X71" s="7"/>
      <c r="Y71" s="7"/>
      <c r="Z71" s="52"/>
      <c r="AA71" s="52"/>
      <c r="AB71" s="52"/>
      <c r="AC71" s="52"/>
    </row>
    <row r="72" spans="10:29" x14ac:dyDescent="0.25">
      <c r="J72" s="32"/>
      <c r="L72" s="6"/>
      <c r="M72" s="6"/>
      <c r="N72" s="7"/>
      <c r="P72" s="6"/>
      <c r="Q72" s="7"/>
      <c r="R72" s="7"/>
      <c r="S72" s="7"/>
      <c r="T72" s="7"/>
      <c r="U72" s="7"/>
      <c r="V72" s="7"/>
      <c r="W72" s="7"/>
      <c r="X72" s="7"/>
      <c r="Y72" s="7"/>
      <c r="Z72" s="52"/>
      <c r="AA72" s="52"/>
      <c r="AB72" s="52"/>
      <c r="AC72" s="52"/>
    </row>
    <row r="73" spans="10:29" x14ac:dyDescent="0.25">
      <c r="J73" s="32"/>
      <c r="L73" s="6"/>
      <c r="M73" s="6"/>
      <c r="N73" s="7"/>
      <c r="P73" s="6"/>
      <c r="Q73" s="7"/>
      <c r="R73" s="7"/>
      <c r="S73" s="7"/>
      <c r="T73" s="7"/>
      <c r="U73" s="7"/>
      <c r="V73" s="7"/>
      <c r="W73" s="7"/>
      <c r="X73" s="7"/>
      <c r="Y73" s="7"/>
      <c r="Z73" s="52"/>
      <c r="AA73" s="52"/>
      <c r="AB73" s="52"/>
      <c r="AC73" s="52"/>
    </row>
    <row r="74" spans="10:29" x14ac:dyDescent="0.25">
      <c r="J74" s="32"/>
      <c r="L74" s="6"/>
      <c r="M74" s="6"/>
      <c r="N74" s="7"/>
      <c r="P74" s="6"/>
      <c r="Q74" s="7"/>
      <c r="R74" s="7"/>
      <c r="S74" s="7"/>
      <c r="T74" s="7"/>
      <c r="U74" s="7"/>
      <c r="V74" s="7"/>
      <c r="W74" s="7"/>
      <c r="X74" s="7"/>
      <c r="Y74" s="7"/>
      <c r="Z74" s="52"/>
      <c r="AA74" s="52"/>
      <c r="AB74" s="52"/>
      <c r="AC74" s="52"/>
    </row>
    <row r="75" spans="10:29" x14ac:dyDescent="0.25">
      <c r="J75" s="32"/>
      <c r="L75" s="6"/>
      <c r="M75" s="6"/>
      <c r="N75" s="7"/>
      <c r="P75" s="6"/>
      <c r="Q75" s="7"/>
      <c r="R75" s="7"/>
      <c r="S75" s="7"/>
      <c r="T75" s="7"/>
      <c r="U75" s="7"/>
      <c r="V75" s="7"/>
      <c r="W75" s="7"/>
      <c r="X75" s="7"/>
      <c r="Y75" s="7"/>
      <c r="Z75" s="52"/>
      <c r="AA75" s="52"/>
      <c r="AB75" s="52"/>
      <c r="AC75" s="52"/>
    </row>
    <row r="76" spans="10:29" x14ac:dyDescent="0.25">
      <c r="J76" s="32"/>
      <c r="L76" s="6"/>
      <c r="M76" s="6"/>
      <c r="N76" s="7"/>
      <c r="P76" s="6"/>
      <c r="Q76" s="7"/>
      <c r="R76" s="7"/>
      <c r="S76" s="7"/>
      <c r="T76" s="7"/>
      <c r="U76" s="7"/>
      <c r="V76" s="7"/>
      <c r="W76" s="7"/>
      <c r="X76" s="7"/>
      <c r="Y76" s="7"/>
      <c r="Z76" s="52"/>
      <c r="AA76" s="52"/>
      <c r="AB76" s="52"/>
      <c r="AC76" s="52"/>
    </row>
    <row r="77" spans="10:29" x14ac:dyDescent="0.25">
      <c r="J77" s="32"/>
      <c r="L77" s="6"/>
      <c r="M77" s="6"/>
      <c r="N77" s="7"/>
      <c r="P77" s="6"/>
      <c r="Q77" s="7"/>
      <c r="R77" s="7"/>
      <c r="S77" s="7"/>
      <c r="T77" s="7"/>
      <c r="U77" s="7"/>
      <c r="V77" s="7"/>
      <c r="W77" s="7"/>
      <c r="X77" s="7"/>
      <c r="Y77" s="7"/>
      <c r="Z77" s="52"/>
      <c r="AA77" s="52"/>
      <c r="AB77" s="52"/>
      <c r="AC77" s="52"/>
    </row>
    <row r="78" spans="10:29" x14ac:dyDescent="0.25">
      <c r="J78" s="32"/>
      <c r="L78" s="6"/>
      <c r="M78" s="6"/>
      <c r="N78" s="7"/>
      <c r="P78" s="6"/>
      <c r="Q78" s="7"/>
      <c r="R78" s="7"/>
      <c r="S78" s="7"/>
      <c r="T78" s="7"/>
      <c r="U78" s="7"/>
      <c r="V78" s="7"/>
      <c r="W78" s="7"/>
      <c r="X78" s="7"/>
      <c r="Y78" s="7"/>
      <c r="Z78" s="52"/>
      <c r="AA78" s="52"/>
      <c r="AB78" s="52"/>
      <c r="AC78" s="52"/>
    </row>
    <row r="79" spans="10:29" x14ac:dyDescent="0.25">
      <c r="J79" s="32"/>
      <c r="L79" s="6"/>
      <c r="M79" s="6"/>
      <c r="N79" s="7"/>
      <c r="P79" s="6"/>
      <c r="Q79" s="7"/>
      <c r="R79" s="7"/>
      <c r="S79" s="7"/>
      <c r="T79" s="7"/>
      <c r="U79" s="7"/>
      <c r="V79" s="7"/>
      <c r="W79" s="7"/>
      <c r="X79" s="7"/>
      <c r="Y79" s="7"/>
      <c r="Z79" s="52"/>
      <c r="AA79" s="52"/>
      <c r="AB79" s="52"/>
      <c r="AC79" s="52"/>
    </row>
    <row r="80" spans="10:29" x14ac:dyDescent="0.25">
      <c r="J80" s="32"/>
      <c r="L80" s="6"/>
      <c r="M80" s="6"/>
      <c r="N80" s="7"/>
      <c r="P80" s="6"/>
      <c r="Q80" s="7"/>
      <c r="R80" s="7"/>
      <c r="S80" s="7"/>
      <c r="T80" s="7"/>
      <c r="U80" s="7"/>
      <c r="V80" s="7"/>
      <c r="W80" s="7"/>
      <c r="X80" s="7"/>
      <c r="Y80" s="7"/>
      <c r="Z80" s="52"/>
      <c r="AA80" s="52"/>
      <c r="AB80" s="52"/>
      <c r="AC80" s="52"/>
    </row>
    <row r="81" spans="10:29" x14ac:dyDescent="0.25">
      <c r="J81" s="35"/>
      <c r="K81" s="37"/>
      <c r="L81" s="36"/>
      <c r="M81" s="36"/>
      <c r="N81" s="7"/>
      <c r="O81" s="37"/>
      <c r="P81" s="6"/>
      <c r="Q81" s="38"/>
      <c r="R81" s="38"/>
      <c r="S81" s="38"/>
      <c r="T81" s="38"/>
      <c r="U81" s="38"/>
      <c r="V81" s="38"/>
      <c r="W81" s="38"/>
      <c r="X81" s="7"/>
      <c r="Y81" s="7"/>
      <c r="Z81" s="52"/>
      <c r="AA81" s="52"/>
      <c r="AB81" s="52"/>
      <c r="AC81" s="52"/>
    </row>
    <row r="82" spans="10:29" x14ac:dyDescent="0.25">
      <c r="J82" s="32"/>
      <c r="L82" s="36"/>
      <c r="M82" s="6"/>
      <c r="N82" s="7"/>
      <c r="P82" s="6"/>
      <c r="Q82" s="7"/>
      <c r="R82" s="7"/>
      <c r="S82" s="7"/>
      <c r="T82" s="7"/>
      <c r="U82" s="7"/>
      <c r="V82" s="7"/>
      <c r="W82" s="7"/>
      <c r="X82" s="7"/>
      <c r="Y82" s="7"/>
      <c r="Z82" s="52"/>
      <c r="AA82" s="52"/>
      <c r="AB82" s="52"/>
      <c r="AC82" s="52"/>
    </row>
    <row r="83" spans="10:29" x14ac:dyDescent="0.25">
      <c r="J83" s="43"/>
      <c r="K83" s="44"/>
      <c r="L83" s="45"/>
      <c r="M83" s="45"/>
      <c r="N83" s="56"/>
      <c r="O83" s="57"/>
      <c r="P83" s="58"/>
      <c r="Q83" s="46"/>
      <c r="R83" s="46"/>
      <c r="S83" s="46"/>
      <c r="T83" s="46"/>
      <c r="U83" s="46"/>
      <c r="V83" s="46"/>
      <c r="W83" s="46"/>
      <c r="X83" s="56"/>
      <c r="Y83" s="56"/>
      <c r="Z83" s="59"/>
      <c r="AA83" s="59"/>
      <c r="AB83" s="59"/>
      <c r="AC83" s="59"/>
    </row>
    <row r="84" spans="10:29" x14ac:dyDescent="0.25">
      <c r="J84" s="32"/>
      <c r="L84" s="6"/>
      <c r="M84" s="6"/>
      <c r="N84" s="7"/>
      <c r="P84" s="6"/>
      <c r="Q84" s="7"/>
      <c r="R84" s="7"/>
      <c r="S84" s="7"/>
      <c r="T84" s="7"/>
      <c r="U84" s="7"/>
      <c r="V84" s="7"/>
      <c r="W84" s="7"/>
      <c r="X84" s="7"/>
      <c r="Y84" s="7"/>
      <c r="Z84" s="52"/>
      <c r="AA84" s="52"/>
      <c r="AB84" s="52"/>
      <c r="AC84" s="52"/>
    </row>
    <row r="85" spans="10:29" x14ac:dyDescent="0.25">
      <c r="J85" s="32"/>
      <c r="L85" s="6"/>
      <c r="M85" s="6"/>
      <c r="N85" s="7"/>
      <c r="P85" s="6"/>
      <c r="Q85" s="7"/>
      <c r="R85" s="7"/>
      <c r="S85" s="7"/>
      <c r="T85" s="7"/>
      <c r="U85" s="7"/>
      <c r="V85" s="7"/>
      <c r="W85" s="7"/>
      <c r="X85" s="7"/>
      <c r="Y85" s="7"/>
      <c r="Z85" s="52"/>
      <c r="AA85" s="52"/>
      <c r="AB85" s="52"/>
      <c r="AC85" s="52"/>
    </row>
    <row r="86" spans="10:29" x14ac:dyDescent="0.25">
      <c r="J86" s="32"/>
      <c r="L86" s="6"/>
      <c r="M86" s="6"/>
      <c r="N86" s="7"/>
      <c r="P86" s="6"/>
      <c r="Q86" s="7"/>
      <c r="R86" s="7"/>
      <c r="S86" s="7"/>
      <c r="T86" s="7"/>
      <c r="U86" s="7"/>
      <c r="V86" s="7"/>
      <c r="W86" s="7"/>
      <c r="X86" s="7"/>
      <c r="Y86" s="7"/>
      <c r="Z86" s="52"/>
      <c r="AA86" s="52"/>
      <c r="AB86" s="52"/>
      <c r="AC86" s="52"/>
    </row>
    <row r="87" spans="10:29" x14ac:dyDescent="0.25">
      <c r="J87" s="32"/>
      <c r="L87" s="6"/>
      <c r="M87" s="6"/>
      <c r="N87" s="7"/>
      <c r="P87" s="6"/>
      <c r="Q87" s="7"/>
      <c r="R87" s="7"/>
      <c r="S87" s="7"/>
      <c r="T87" s="7"/>
      <c r="U87" s="7"/>
      <c r="V87" s="7"/>
      <c r="W87" s="7"/>
      <c r="X87" s="7"/>
      <c r="Y87" s="7"/>
      <c r="Z87" s="52"/>
      <c r="AA87" s="52"/>
      <c r="AB87" s="52"/>
      <c r="AC87" s="52"/>
    </row>
  </sheetData>
  <sheetProtection algorithmName="SHA-512" hashValue="mXQUojMgviF2o+dW80HbqcluWHpYGdreeB+1ryU6hGq7aPyuMD6ZIpf1d2Lkv34tYapXqYQgufmxQi/keBL7hw==" saltValue="5f4wbay1pHj/nn4/EnHYZQ==" spinCount="100000" sheet="1" objects="1" scenarios="1"/>
  <mergeCells count="2">
    <mergeCell ref="L5:N5"/>
    <mergeCell ref="P5:W5"/>
  </mergeCells>
  <phoneticPr fontId="8" type="noConversion"/>
  <pageMargins left="0.81" right="0.64" top="0.56000000000000005" bottom="0.48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6:K41"/>
  <sheetViews>
    <sheetView topLeftCell="A8" workbookViewId="0">
      <selection activeCell="N24" sqref="N24"/>
    </sheetView>
  </sheetViews>
  <sheetFormatPr defaultRowHeight="12.5" x14ac:dyDescent="0.25"/>
  <sheetData>
    <row r="26" spans="2:11" x14ac:dyDescent="0.25">
      <c r="B26" s="33" t="s">
        <v>75</v>
      </c>
    </row>
    <row r="27" spans="2:11" ht="13" thickBot="1" x14ac:dyDescent="0.3">
      <c r="B27" t="s">
        <v>26</v>
      </c>
    </row>
    <row r="28" spans="2:11" x14ac:dyDescent="0.25">
      <c r="B28" s="11"/>
      <c r="C28" s="12"/>
      <c r="D28" s="233" t="s">
        <v>25</v>
      </c>
      <c r="E28" s="234"/>
      <c r="F28" s="234"/>
      <c r="G28" s="234"/>
      <c r="H28" s="234"/>
      <c r="I28" s="234"/>
      <c r="J28" s="234"/>
      <c r="K28" s="235"/>
    </row>
    <row r="29" spans="2:11" x14ac:dyDescent="0.25">
      <c r="B29" s="228" t="s">
        <v>1</v>
      </c>
      <c r="C29" s="229"/>
      <c r="D29" s="130">
        <v>0.3</v>
      </c>
      <c r="E29" s="131">
        <v>0.4</v>
      </c>
      <c r="F29" s="131">
        <v>0.5</v>
      </c>
      <c r="G29" s="131">
        <v>0.6</v>
      </c>
      <c r="H29" s="131">
        <v>0.65</v>
      </c>
      <c r="I29" s="131">
        <v>0.7</v>
      </c>
      <c r="J29" s="131">
        <v>0.75</v>
      </c>
      <c r="K29" s="132">
        <v>0.8</v>
      </c>
    </row>
    <row r="30" spans="2:11" x14ac:dyDescent="0.25">
      <c r="B30" s="14" t="s">
        <v>0</v>
      </c>
      <c r="C30" s="10" t="s">
        <v>24</v>
      </c>
      <c r="D30" s="230" t="s">
        <v>74</v>
      </c>
      <c r="E30" s="231"/>
      <c r="F30" s="231"/>
      <c r="G30" s="231"/>
      <c r="H30" s="231"/>
      <c r="I30" s="231"/>
      <c r="J30" s="231"/>
      <c r="K30" s="232"/>
    </row>
    <row r="31" spans="2:11" x14ac:dyDescent="0.25">
      <c r="B31" s="133">
        <v>2</v>
      </c>
      <c r="C31" s="9">
        <v>35</v>
      </c>
      <c r="D31" s="6">
        <v>10.151473193867238</v>
      </c>
      <c r="E31" s="6">
        <v>11.264335014647916</v>
      </c>
      <c r="F31" s="135">
        <v>12.338569222701453</v>
      </c>
      <c r="G31" s="2">
        <v>13.442946528290374</v>
      </c>
      <c r="H31" s="2">
        <v>14.029624299881551</v>
      </c>
      <c r="I31" s="2">
        <v>14.656145863345811</v>
      </c>
      <c r="J31" s="2">
        <v>15.3</v>
      </c>
      <c r="K31" s="3">
        <v>16.11648776901157</v>
      </c>
    </row>
    <row r="32" spans="2:11" x14ac:dyDescent="0.25">
      <c r="B32" s="133">
        <v>4.4444444444444446</v>
      </c>
      <c r="C32" s="9">
        <v>40</v>
      </c>
      <c r="D32" s="6">
        <v>9.959514269395271</v>
      </c>
      <c r="E32" s="6">
        <v>11.066558456143827</v>
      </c>
      <c r="F32" s="2">
        <v>12.135695561982459</v>
      </c>
      <c r="G32" s="2">
        <v>13.235382822822315</v>
      </c>
      <c r="H32" s="2">
        <v>13.819797234949862</v>
      </c>
      <c r="I32" s="2">
        <v>14.444074896309974</v>
      </c>
      <c r="J32" s="2">
        <v>15.1</v>
      </c>
      <c r="K32" s="3">
        <v>15.899863089492428</v>
      </c>
    </row>
    <row r="33" spans="2:11" x14ac:dyDescent="0.25">
      <c r="B33" s="133">
        <v>10</v>
      </c>
      <c r="C33" s="9">
        <v>50</v>
      </c>
      <c r="D33" s="6">
        <v>9.6072447789364102</v>
      </c>
      <c r="E33" s="6">
        <v>10.70337129581452</v>
      </c>
      <c r="F33" s="2">
        <v>11.762914530338708</v>
      </c>
      <c r="G33" s="2">
        <v>12.853743782269177</v>
      </c>
      <c r="H33" s="2">
        <v>13.433870202851292</v>
      </c>
      <c r="I33" s="2">
        <v>14.053886140811915</v>
      </c>
      <c r="J33" s="2">
        <v>14.7</v>
      </c>
      <c r="K33" s="3">
        <v>15.500982901382386</v>
      </c>
    </row>
    <row r="34" spans="2:11" x14ac:dyDescent="0.25">
      <c r="B34" s="133">
        <v>15.555555555555555</v>
      </c>
      <c r="C34" s="9">
        <v>60</v>
      </c>
      <c r="D34" s="6">
        <v>9.2908545795481103</v>
      </c>
      <c r="E34" s="6">
        <v>10.376951128693262</v>
      </c>
      <c r="F34" s="2">
        <v>11.427651075352991</v>
      </c>
      <c r="G34" s="2">
        <v>12.510284190505089</v>
      </c>
      <c r="H34" s="2">
        <v>13.086429555247458</v>
      </c>
      <c r="I34" s="2">
        <v>13.702478113572298</v>
      </c>
      <c r="J34" s="2">
        <v>14.437286915692434</v>
      </c>
      <c r="K34" s="3">
        <v>15.141440722962264</v>
      </c>
    </row>
    <row r="35" spans="2:11" x14ac:dyDescent="0.25">
      <c r="B35" s="133">
        <v>21.111111111111111</v>
      </c>
      <c r="C35" s="9">
        <v>70</v>
      </c>
      <c r="D35" s="6">
        <v>9.0037563198149329</v>
      </c>
      <c r="E35" s="6">
        <v>10.080605105735565</v>
      </c>
      <c r="F35" s="2">
        <v>11.123128862915356</v>
      </c>
      <c r="G35" s="2">
        <v>12.198160581419859</v>
      </c>
      <c r="H35" s="2">
        <v>12.770603695287619</v>
      </c>
      <c r="I35" s="2">
        <v>13.382954770575523</v>
      </c>
      <c r="J35" s="2">
        <v>14.112623273065855</v>
      </c>
      <c r="K35" s="3">
        <v>14.814304896698326</v>
      </c>
    </row>
    <row r="36" spans="2:11" x14ac:dyDescent="0.25">
      <c r="B36" s="133">
        <v>26.666666666666668</v>
      </c>
      <c r="C36" s="9">
        <v>80</v>
      </c>
      <c r="D36" s="6">
        <v>8.741042749678126</v>
      </c>
      <c r="E36" s="6">
        <v>9.8093344177268129</v>
      </c>
      <c r="F36" s="2">
        <v>10.844274899343084</v>
      </c>
      <c r="G36" s="2">
        <v>11.912238183450068</v>
      </c>
      <c r="H36" s="2">
        <v>12.481230877710416</v>
      </c>
      <c r="I36" s="2">
        <v>13.090129906545521</v>
      </c>
      <c r="J36" s="2">
        <v>13.815024519558818</v>
      </c>
      <c r="K36" s="3">
        <v>14.514348824702807</v>
      </c>
    </row>
    <row r="37" spans="2:11" x14ac:dyDescent="0.25">
      <c r="B37" s="133">
        <v>32.222222222222221</v>
      </c>
      <c r="C37" s="9">
        <v>90</v>
      </c>
      <c r="D37" s="6">
        <v>8.4989529290306933</v>
      </c>
      <c r="E37" s="6">
        <v>9.5592993980085001</v>
      </c>
      <c r="F37" s="2">
        <v>10.587184710415652</v>
      </c>
      <c r="G37" s="2">
        <v>11.648557334513709</v>
      </c>
      <c r="H37" s="2">
        <v>12.214326744018745</v>
      </c>
      <c r="I37" s="2">
        <v>12.819996229214052</v>
      </c>
      <c r="J37" s="2">
        <v>13.540442721918829</v>
      </c>
      <c r="K37" s="3">
        <v>14.237524932479911</v>
      </c>
    </row>
    <row r="38" spans="2:11" x14ac:dyDescent="0.25">
      <c r="B38" s="133">
        <v>37.777777777777779</v>
      </c>
      <c r="C38" s="9">
        <v>100</v>
      </c>
      <c r="D38" s="6">
        <v>8.2725882402686075</v>
      </c>
      <c r="E38" s="6">
        <v>9.325469498493554</v>
      </c>
      <c r="F38" s="2">
        <v>10.346714180495661</v>
      </c>
      <c r="G38" s="2">
        <v>11.401871571788766</v>
      </c>
      <c r="H38" s="2">
        <v>11.964596375201557</v>
      </c>
      <c r="I38" s="2">
        <v>12.567211527595216</v>
      </c>
      <c r="J38" s="2">
        <v>13.2</v>
      </c>
      <c r="K38" s="3">
        <v>13.978398049719221</v>
      </c>
    </row>
    <row r="39" spans="2:11" x14ac:dyDescent="0.25">
      <c r="B39" s="133">
        <v>43.333333333333336</v>
      </c>
      <c r="C39" s="9">
        <v>110</v>
      </c>
      <c r="D39" s="6">
        <v>8.0643452814067658</v>
      </c>
      <c r="E39" s="6">
        <v>9.1103402850125921</v>
      </c>
      <c r="F39" s="2">
        <v>10.12544984657324</v>
      </c>
      <c r="G39" s="2">
        <v>11.174855610331669</v>
      </c>
      <c r="H39" s="2">
        <v>11.734758967116846</v>
      </c>
      <c r="I39" s="2">
        <v>12.334540626391458</v>
      </c>
      <c r="J39" s="2">
        <v>13.048154101879742</v>
      </c>
      <c r="K39" s="3">
        <v>13.739831729427383</v>
      </c>
    </row>
    <row r="40" spans="2:11" ht="13" thickBot="1" x14ac:dyDescent="0.3">
      <c r="B40" s="134">
        <v>48.888888888888886</v>
      </c>
      <c r="C40" s="15">
        <v>120</v>
      </c>
      <c r="D40" s="129">
        <v>7.8680310011026666</v>
      </c>
      <c r="E40" s="4">
        <v>8.9075274747768098</v>
      </c>
      <c r="F40" s="4">
        <v>9.9168393921859384</v>
      </c>
      <c r="G40" s="4">
        <v>10.960802002188014</v>
      </c>
      <c r="H40" s="4">
        <v>11.518031982326082</v>
      </c>
      <c r="I40" s="4">
        <v>12.11512636434435</v>
      </c>
      <c r="J40" s="4">
        <v>12.825765846129537</v>
      </c>
      <c r="K40" s="5">
        <v>13.514816645008871</v>
      </c>
    </row>
    <row r="41" spans="2:11" x14ac:dyDescent="0.25">
      <c r="B41" s="33" t="s">
        <v>76</v>
      </c>
    </row>
  </sheetData>
  <mergeCells count="3">
    <mergeCell ref="B29:C29"/>
    <mergeCell ref="D30:K30"/>
    <mergeCell ref="D28:K28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Inputs + Results</vt:lpstr>
      <vt:lpstr>2020</vt:lpstr>
      <vt:lpstr>EMC</vt:lpstr>
      <vt:lpstr>'2020'!Print_Area</vt:lpstr>
    </vt:vector>
  </TitlesOfParts>
  <Company>Biosystems &amp; Ag Engineering/Univ KY/Princeton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 McNeill</dc:creator>
  <cp:lastModifiedBy>Sam</cp:lastModifiedBy>
  <cp:lastPrinted>2020-06-17T22:48:00Z</cp:lastPrinted>
  <dcterms:created xsi:type="dcterms:W3CDTF">2002-10-16T16:05:24Z</dcterms:created>
  <dcterms:modified xsi:type="dcterms:W3CDTF">2020-06-18T13:53:55Z</dcterms:modified>
</cp:coreProperties>
</file>